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6972" windowHeight="11016" tabRatio="852" activeTab="0"/>
  </bookViews>
  <sheets>
    <sheet name="Subsolado" sheetId="1" r:id="rId1"/>
    <sheet name="Metodología" sheetId="2" r:id="rId2"/>
  </sheets>
  <definedNames>
    <definedName name="_xlnm.Print_Area" localSheetId="1">'Metodología'!$A$1:$A$31</definedName>
    <definedName name="_xlnm.Print_Area" localSheetId="0">'Subsolado'!$A$1:$K$70</definedName>
    <definedName name="Z_039E3839_049A_4F05_9EAF_8C8ED138CC23_.wvu.Cols" localSheetId="0" hidden="1">'Subsolado'!$AD:$AH</definedName>
    <definedName name="Z_039E3839_049A_4F05_9EAF_8C8ED138CC23_.wvu.PrintArea" localSheetId="0" hidden="1">'Subsolado'!$A$9:$T$68</definedName>
  </definedNames>
  <calcPr fullCalcOnLoad="1"/>
</workbook>
</file>

<file path=xl/sharedStrings.xml><?xml version="1.0" encoding="utf-8"?>
<sst xmlns="http://schemas.openxmlformats.org/spreadsheetml/2006/main" count="216" uniqueCount="153">
  <si>
    <t>€</t>
  </si>
  <si>
    <t>kW</t>
  </si>
  <si>
    <t>horas</t>
  </si>
  <si>
    <t>%</t>
  </si>
  <si>
    <t>CV</t>
  </si>
  <si>
    <t>años</t>
  </si>
  <si>
    <t>€/L</t>
  </si>
  <si>
    <t>€/kW</t>
  </si>
  <si>
    <t>Seguros</t>
  </si>
  <si>
    <t>Consumo de combustible</t>
  </si>
  <si>
    <t>Resguardo</t>
  </si>
  <si>
    <t>L/h-kW</t>
  </si>
  <si>
    <t>L/h</t>
  </si>
  <si>
    <t>OPERACIÓN:</t>
  </si>
  <si>
    <t xml:space="preserve">APERO: </t>
  </si>
  <si>
    <t>Tipo suelo</t>
  </si>
  <si>
    <t>Ligero</t>
  </si>
  <si>
    <t>Medio</t>
  </si>
  <si>
    <t>Pesado</t>
  </si>
  <si>
    <t>Baja</t>
  </si>
  <si>
    <t>Media</t>
  </si>
  <si>
    <t>Alta</t>
  </si>
  <si>
    <t>Profundidad de trabajo</t>
  </si>
  <si>
    <t>cm</t>
  </si>
  <si>
    <t>Profundidad de trabajo (cm)</t>
  </si>
  <si>
    <t>Anchura apero</t>
  </si>
  <si>
    <t>m</t>
  </si>
  <si>
    <t>Peso apero</t>
  </si>
  <si>
    <t>kg</t>
  </si>
  <si>
    <t>ud</t>
  </si>
  <si>
    <t>Resistencia suelo</t>
  </si>
  <si>
    <t>Resist.específica (kPa)</t>
  </si>
  <si>
    <t>kPa</t>
  </si>
  <si>
    <t>Fuerza</t>
  </si>
  <si>
    <t>daN</t>
  </si>
  <si>
    <t>Velocidad de trabajo</t>
  </si>
  <si>
    <t>km/h</t>
  </si>
  <si>
    <t>Potencia de tracción</t>
  </si>
  <si>
    <t>h/ha</t>
  </si>
  <si>
    <t>Eficiencia</t>
  </si>
  <si>
    <t>ha/h</t>
  </si>
  <si>
    <t>Nivel de carga de trabajo (%)</t>
  </si>
  <si>
    <t>Potencia tractor necesaria</t>
  </si>
  <si>
    <t>Mediano</t>
  </si>
  <si>
    <t>Grande</t>
  </si>
  <si>
    <t>Muy grande</t>
  </si>
  <si>
    <t>Nivel potencia tractor (CV)</t>
  </si>
  <si>
    <t>Eficiencia de trabajo</t>
  </si>
  <si>
    <t>Consumo combustible</t>
  </si>
  <si>
    <t>Carga</t>
  </si>
  <si>
    <t>Consumo de aceite</t>
  </si>
  <si>
    <t>Precio adquisición</t>
  </si>
  <si>
    <t>amort. - desgaste</t>
  </si>
  <si>
    <t>amort. - obsolescencia</t>
  </si>
  <si>
    <t>interés</t>
  </si>
  <si>
    <t>seguros</t>
  </si>
  <si>
    <t>resguardo</t>
  </si>
  <si>
    <t>mantenim-reparaciones</t>
  </si>
  <si>
    <t>h</t>
  </si>
  <si>
    <t>% PA</t>
  </si>
  <si>
    <t>€/ha</t>
  </si>
  <si>
    <t>h/año</t>
  </si>
  <si>
    <t>€/h</t>
  </si>
  <si>
    <t>Coste total</t>
  </si>
  <si>
    <t>Horas trabajo anuales</t>
  </si>
  <si>
    <t>ha/año</t>
  </si>
  <si>
    <t>Tractor auxiliar</t>
  </si>
  <si>
    <t>Separación púas</t>
  </si>
  <si>
    <t>Número púas</t>
  </si>
  <si>
    <t>Numero púas</t>
  </si>
  <si>
    <t>RESULTADOS MAPA para 45 cm de profundidad media: De 18 L/ha a 30 L/ha según textura y prof trabajo</t>
  </si>
  <si>
    <t>Subsolado</t>
  </si>
  <si>
    <t>Nivel de carga del tractor</t>
  </si>
  <si>
    <t>Pequeño</t>
  </si>
  <si>
    <t>pot tractor CV</t>
  </si>
  <si>
    <t>nivel carga %</t>
  </si>
  <si>
    <t>pot utilizada</t>
  </si>
  <si>
    <t>vel km/h</t>
  </si>
  <si>
    <t>Prf trabajo (cm)</t>
  </si>
  <si>
    <t>medium soil</t>
  </si>
  <si>
    <t>fine soil</t>
  </si>
  <si>
    <t>coarse soil</t>
  </si>
  <si>
    <t>ASAE subsoller narrow point</t>
  </si>
  <si>
    <t>Bajo</t>
  </si>
  <si>
    <t>Alto</t>
  </si>
  <si>
    <t>COSTES DE UTILIZACIÓN</t>
  </si>
  <si>
    <t>COSTES DE POSESIÓN</t>
  </si>
  <si>
    <t>Capacidad trabajo teórica</t>
  </si>
  <si>
    <t>Capacidad trabajo real</t>
  </si>
  <si>
    <t>Coste gasóleo</t>
  </si>
  <si>
    <t>Coste combustible</t>
  </si>
  <si>
    <t>L/ha</t>
  </si>
  <si>
    <t>ASAE subsoller 30 cm winged point</t>
  </si>
  <si>
    <t>P(kW)</t>
  </si>
  <si>
    <t>anchura max (m)</t>
  </si>
  <si>
    <t>Coef. Menor grado pulveriz.</t>
  </si>
  <si>
    <t>100</t>
  </si>
  <si>
    <t>Separación entre púas</t>
  </si>
  <si>
    <t>R suelo  kPa</t>
  </si>
  <si>
    <t>F (daN)</t>
  </si>
  <si>
    <t>Factor (L/h-kW)</t>
  </si>
  <si>
    <t>v (km/h)</t>
  </si>
  <si>
    <t>Costra caliza a 30 - 40 cm de prof.</t>
  </si>
  <si>
    <t>Pot a la barra i/rod+desliz</t>
  </si>
  <si>
    <t>P barra i/rod+desliz</t>
  </si>
  <si>
    <t>Tipo de tractor escogido</t>
  </si>
  <si>
    <t>Potencia tractor escogido</t>
  </si>
  <si>
    <t>Alta (1.000 h/año)</t>
  </si>
  <si>
    <t>Baja (500 h/año)</t>
  </si>
  <si>
    <t>€/h s/comb</t>
  </si>
  <si>
    <t>Utilización anual</t>
  </si>
  <si>
    <t>Utilización apero (h/año)</t>
  </si>
  <si>
    <t>AUXILIAR</t>
  </si>
  <si>
    <t>€/m</t>
  </si>
  <si>
    <t>kg/pua</t>
  </si>
  <si>
    <t>Mant.-Reparac</t>
  </si>
  <si>
    <t>Hipótesis tractor auxiliar</t>
  </si>
  <si>
    <t>Costes horarios tractor auxiliar  (€/h)</t>
  </si>
  <si>
    <t>€/h s/comb.</t>
  </si>
  <si>
    <t>Amortización</t>
  </si>
  <si>
    <t>Precio adquis.</t>
  </si>
  <si>
    <t>Tasa interés</t>
  </si>
  <si>
    <t>Cons.carga media</t>
  </si>
  <si>
    <t xml:space="preserve"> +combustible</t>
  </si>
  <si>
    <t>TRACTOR + APERO</t>
  </si>
  <si>
    <t>Los datos de partida de esta operación son los siguientes:</t>
  </si>
  <si>
    <t>En el caso de que el suelo tuviese una costra caliza a 30- 40 cm, habría que escoger una profundidad de 65 cm y automáticamente la resistencia característica del suelo cambiaría para considerar una mayor resistencia del suelo al avance del apero debido a la costra.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</si>
  <si>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</si>
  <si>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</si>
  <si>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4</t>
  </si>
  <si>
    <t>Precio adquisición tractor</t>
  </si>
  <si>
    <t xml:space="preserve"> €/kW de potencia</t>
  </si>
  <si>
    <t>-          Número de púas: De 3 a 7</t>
  </si>
  <si>
    <t>-          Profundidad de trabajo: Baja (30 cm), media (45 cm)  y alta (65 cm)</t>
  </si>
  <si>
    <t>-          Separación entre púas: Se calcula como 1,5 veces la profundidad escogida.</t>
  </si>
  <si>
    <t>-          Peso del apero: Estimado en 150 kg/púa.</t>
  </si>
  <si>
    <t>-          Resistencia del suelo: A escoger según del tipo de suelo: ligero, medio o pesado</t>
  </si>
  <si>
    <t>-          Eficiencia de la operación: Baja, media o alta (se recomienda escoger alta para esta operación puesto que es la situación más habitual)</t>
  </si>
  <si>
    <t>-          Nivel de carga del tractor: Bajo, medio o alto (se recomienda coger alto para esta operación)</t>
  </si>
  <si>
    <t>-          Velocidad de trabajo: Es un valor tomado de las velocidades recomendadas de trabajo.</t>
  </si>
  <si>
    <t>-          Coeficiente de reducción por menor grado de pulverización: Estimado en 0,5 para considerar que el apero realiza una pulverización menor que en el caso de la vertedera.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</si>
  <si>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</si>
  <si>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</si>
  <si>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</si>
  <si>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>-          Amortización por desgaste: 3.000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</si>
  <si>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</si>
  <si>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</si>
  <si>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</si>
  <si>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Mantenimiento y reparaciones: 2,10 €/ha</t>
  </si>
  <si>
    <t>-          Utilización anual tractor auxiliar: Se han estimado dos rangos diferentes de trabajo, 500 y 1.000 h/año.</t>
  </si>
  <si>
    <t>-          Coste de combustible: 1,00 €/L</t>
  </si>
  <si>
    <t>-          Precio de adquisición: Estimado en 1.800 €/m de anchura de trabajo</t>
  </si>
  <si>
    <t>-          Interés: 5 %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</si>
</sst>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b/>
      <sz val="11"/>
      <color indexed="2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0" fontId="0" fillId="34" borderId="0" xfId="0" applyFill="1" applyAlignment="1">
      <alignment horizontal="justify" wrapText="1"/>
    </xf>
    <xf numFmtId="0" fontId="4" fillId="34" borderId="0" xfId="0" applyFont="1" applyFill="1" applyAlignment="1">
      <alignment horizontal="justify" wrapText="1"/>
    </xf>
    <xf numFmtId="0" fontId="5" fillId="34" borderId="0" xfId="0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34" borderId="15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2" fontId="6" fillId="33" borderId="0" xfId="0" applyNumberFormat="1" applyFont="1" applyFill="1" applyBorder="1" applyAlignment="1" applyProtection="1">
      <alignment horizontal="center"/>
      <protection locked="0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176" fontId="7" fillId="0" borderId="0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2" fontId="13" fillId="33" borderId="0" xfId="0" applyNumberFormat="1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 applyProtection="1">
      <alignment/>
      <protection hidden="1"/>
    </xf>
    <xf numFmtId="0" fontId="6" fillId="33" borderId="15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wrapText="1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8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165" fontId="6" fillId="33" borderId="15" xfId="0" applyNumberFormat="1" applyFont="1" applyFill="1" applyBorder="1" applyAlignment="1" applyProtection="1">
      <alignment horizontal="center"/>
      <protection/>
    </xf>
    <xf numFmtId="2" fontId="11" fillId="33" borderId="19" xfId="0" applyNumberFormat="1" applyFont="1" applyFill="1" applyBorder="1" applyAlignment="1" applyProtection="1">
      <alignment horizontal="center"/>
      <protection hidden="1" locked="0"/>
    </xf>
    <xf numFmtId="0" fontId="8" fillId="33" borderId="20" xfId="0" applyFont="1" applyFill="1" applyBorder="1" applyAlignment="1">
      <alignment horizontal="center"/>
    </xf>
    <xf numFmtId="164" fontId="13" fillId="33" borderId="0" xfId="0" applyNumberFormat="1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/>
      <protection hidden="1"/>
    </xf>
    <xf numFmtId="0" fontId="12" fillId="33" borderId="21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164" fontId="13" fillId="33" borderId="16" xfId="0" applyNumberFormat="1" applyFont="1" applyFill="1" applyBorder="1" applyAlignment="1" applyProtection="1">
      <alignment horizontal="center"/>
      <protection hidden="1"/>
    </xf>
    <xf numFmtId="0" fontId="12" fillId="33" borderId="22" xfId="0" applyFont="1" applyFill="1" applyBorder="1" applyAlignment="1">
      <alignment horizontal="center"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35" borderId="17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11" fillId="33" borderId="15" xfId="0" applyFont="1" applyFill="1" applyBorder="1" applyAlignment="1" applyProtection="1">
      <alignment horizontal="center"/>
      <protection locked="0"/>
    </xf>
    <xf numFmtId="3" fontId="11" fillId="33" borderId="15" xfId="0" applyNumberFormat="1" applyFont="1" applyFill="1" applyBorder="1" applyAlignment="1" applyProtection="1">
      <alignment horizontal="center"/>
      <protection locked="0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3" fontId="6" fillId="34" borderId="14" xfId="0" applyNumberFormat="1" applyFont="1" applyFill="1" applyBorder="1" applyAlignment="1">
      <alignment horizontal="center"/>
    </xf>
    <xf numFmtId="3" fontId="11" fillId="33" borderId="0" xfId="0" applyNumberFormat="1" applyFont="1" applyFill="1" applyBorder="1" applyAlignment="1" applyProtection="1">
      <alignment horizontal="center"/>
      <protection hidden="1" locked="0"/>
    </xf>
    <xf numFmtId="0" fontId="11" fillId="33" borderId="0" xfId="0" applyFont="1" applyFill="1" applyBorder="1" applyAlignment="1" applyProtection="1">
      <alignment horizontal="center"/>
      <protection hidden="1" locked="0"/>
    </xf>
    <xf numFmtId="0" fontId="8" fillId="34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3" fontId="8" fillId="33" borderId="15" xfId="0" applyNumberFormat="1" applyFont="1" applyFill="1" applyBorder="1" applyAlignment="1" applyProtection="1">
      <alignment horizontal="center"/>
      <protection hidden="1"/>
    </xf>
    <xf numFmtId="3" fontId="8" fillId="34" borderId="14" xfId="0" applyNumberFormat="1" applyFont="1" applyFill="1" applyBorder="1" applyAlignment="1">
      <alignment horizontal="center"/>
    </xf>
    <xf numFmtId="2" fontId="8" fillId="33" borderId="15" xfId="0" applyNumberFormat="1" applyFont="1" applyFill="1" applyBorder="1" applyAlignment="1" applyProtection="1">
      <alignment horizontal="center"/>
      <protection hidden="1"/>
    </xf>
    <xf numFmtId="1" fontId="8" fillId="34" borderId="14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2" fontId="6" fillId="33" borderId="19" xfId="0" applyNumberFormat="1" applyFont="1" applyFill="1" applyBorder="1" applyAlignment="1" applyProtection="1">
      <alignment horizontal="center"/>
      <protection hidden="1"/>
    </xf>
    <xf numFmtId="0" fontId="8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8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2" fontId="12" fillId="33" borderId="16" xfId="0" applyNumberFormat="1" applyFont="1" applyFill="1" applyBorder="1" applyAlignment="1">
      <alignment horizontal="center"/>
    </xf>
    <xf numFmtId="0" fontId="12" fillId="33" borderId="2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 applyProtection="1">
      <alignment horizontal="center" vertical="center"/>
      <protection hidden="1"/>
    </xf>
    <xf numFmtId="2" fontId="8" fillId="33" borderId="15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Border="1" applyAlignment="1">
      <alignment/>
    </xf>
    <xf numFmtId="0" fontId="16" fillId="0" borderId="15" xfId="0" applyFont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/>
    </xf>
    <xf numFmtId="2" fontId="13" fillId="34" borderId="0" xfId="0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 applyProtection="1">
      <alignment horizontal="center" vertical="center"/>
      <protection hidden="1"/>
    </xf>
    <xf numFmtId="0" fontId="6" fillId="34" borderId="11" xfId="0" applyFont="1" applyFill="1" applyBorder="1" applyAlignment="1">
      <alignment horizontal="center" vertical="center"/>
    </xf>
    <xf numFmtId="2" fontId="12" fillId="34" borderId="11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7" fillId="34" borderId="16" xfId="0" applyFont="1" applyFill="1" applyBorder="1" applyAlignment="1">
      <alignment horizontal="right"/>
    </xf>
    <xf numFmtId="0" fontId="10" fillId="34" borderId="16" xfId="0" applyFont="1" applyFill="1" applyBorder="1" applyAlignment="1">
      <alignment horizontal="center"/>
    </xf>
    <xf numFmtId="0" fontId="17" fillId="34" borderId="16" xfId="0" applyFont="1" applyFill="1" applyBorder="1" applyAlignment="1">
      <alignment horizontal="center"/>
    </xf>
    <xf numFmtId="0" fontId="10" fillId="34" borderId="16" xfId="0" applyNumberFormat="1" applyFont="1" applyFill="1" applyBorder="1" applyAlignment="1">
      <alignment horizontal="center"/>
    </xf>
    <xf numFmtId="0" fontId="17" fillId="34" borderId="16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6" fillId="33" borderId="15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/>
      <protection hidden="1"/>
    </xf>
    <xf numFmtId="0" fontId="6" fillId="33" borderId="23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8" fillId="33" borderId="24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0" fontId="8" fillId="35" borderId="23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left"/>
    </xf>
    <xf numFmtId="2" fontId="14" fillId="36" borderId="23" xfId="0" applyNumberFormat="1" applyFont="1" applyFill="1" applyBorder="1" applyAlignment="1" applyProtection="1">
      <alignment horizontal="center" vertical="center"/>
      <protection hidden="1"/>
    </xf>
    <xf numFmtId="2" fontId="14" fillId="36" borderId="18" xfId="0" applyNumberFormat="1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4" fillId="36" borderId="15" xfId="0" applyFont="1" applyFill="1" applyBorder="1" applyAlignment="1">
      <alignment horizontal="center"/>
    </xf>
    <xf numFmtId="0" fontId="14" fillId="36" borderId="23" xfId="0" applyFont="1" applyFill="1" applyBorder="1" applyAlignment="1">
      <alignment horizontal="center"/>
    </xf>
    <xf numFmtId="0" fontId="14" fillId="36" borderId="18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8" fillId="33" borderId="23" xfId="0" applyFont="1" applyFill="1" applyBorder="1" applyAlignment="1" applyProtection="1">
      <alignment horizontal="center"/>
      <protection hidden="1"/>
    </xf>
    <xf numFmtId="0" fontId="8" fillId="33" borderId="18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Relationship Id="rId5" Type="http://schemas.openxmlformats.org/officeDocument/2006/relationships/image" Target="../media/image24.emf" /><Relationship Id="rId6" Type="http://schemas.openxmlformats.org/officeDocument/2006/relationships/image" Target="../media/image12.emf" /><Relationship Id="rId7" Type="http://schemas.openxmlformats.org/officeDocument/2006/relationships/image" Target="../media/image11.emf" /><Relationship Id="rId8" Type="http://schemas.openxmlformats.org/officeDocument/2006/relationships/image" Target="../media/image16.emf" /><Relationship Id="rId9" Type="http://schemas.openxmlformats.org/officeDocument/2006/relationships/image" Target="../media/image5.emf" /><Relationship Id="rId10" Type="http://schemas.openxmlformats.org/officeDocument/2006/relationships/image" Target="../media/image13.emf" /><Relationship Id="rId11" Type="http://schemas.openxmlformats.org/officeDocument/2006/relationships/image" Target="../media/image3.emf" /><Relationship Id="rId12" Type="http://schemas.openxmlformats.org/officeDocument/2006/relationships/image" Target="../media/image21.emf" /><Relationship Id="rId13" Type="http://schemas.openxmlformats.org/officeDocument/2006/relationships/image" Target="../media/image17.emf" /><Relationship Id="rId14" Type="http://schemas.openxmlformats.org/officeDocument/2006/relationships/image" Target="../media/image9.emf" /><Relationship Id="rId15" Type="http://schemas.openxmlformats.org/officeDocument/2006/relationships/image" Target="../media/image18.emf" /><Relationship Id="rId16" Type="http://schemas.openxmlformats.org/officeDocument/2006/relationships/image" Target="../media/image20.emf" /><Relationship Id="rId17" Type="http://schemas.openxmlformats.org/officeDocument/2006/relationships/image" Target="../media/image4.emf" /><Relationship Id="rId18" Type="http://schemas.openxmlformats.org/officeDocument/2006/relationships/image" Target="../media/image19.emf" /><Relationship Id="rId19" Type="http://schemas.openxmlformats.org/officeDocument/2006/relationships/image" Target="../media/image22.emf" /><Relationship Id="rId20" Type="http://schemas.openxmlformats.org/officeDocument/2006/relationships/image" Target="../media/image14.emf" /><Relationship Id="rId21" Type="http://schemas.openxmlformats.org/officeDocument/2006/relationships/image" Target="../media/image1.emf" /><Relationship Id="rId22" Type="http://schemas.openxmlformats.org/officeDocument/2006/relationships/image" Target="../media/image7.emf" /><Relationship Id="rId2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8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04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12</xdr:row>
      <xdr:rowOff>9525</xdr:rowOff>
    </xdr:from>
    <xdr:to>
      <xdr:col>3</xdr:col>
      <xdr:colOff>638175</xdr:colOff>
      <xdr:row>13</xdr:row>
      <xdr:rowOff>28575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0097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13</xdr:row>
      <xdr:rowOff>28575</xdr:rowOff>
    </xdr:from>
    <xdr:to>
      <xdr:col>7</xdr:col>
      <xdr:colOff>247650</xdr:colOff>
      <xdr:row>14</xdr:row>
      <xdr:rowOff>9525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223837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14</xdr:row>
      <xdr:rowOff>38100</xdr:rowOff>
    </xdr:from>
    <xdr:to>
      <xdr:col>7</xdr:col>
      <xdr:colOff>228600</xdr:colOff>
      <xdr:row>15</xdr:row>
      <xdr:rowOff>19050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24574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85725</xdr:colOff>
      <xdr:row>15</xdr:row>
      <xdr:rowOff>47625</xdr:rowOff>
    </xdr:from>
    <xdr:to>
      <xdr:col>7</xdr:col>
      <xdr:colOff>219075</xdr:colOff>
      <xdr:row>16</xdr:row>
      <xdr:rowOff>9525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0100" y="26765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18</xdr:row>
      <xdr:rowOff>28575</xdr:rowOff>
    </xdr:from>
    <xdr:to>
      <xdr:col>7</xdr:col>
      <xdr:colOff>238125</xdr:colOff>
      <xdr:row>19</xdr:row>
      <xdr:rowOff>9525</xdr:rowOff>
    </xdr:to>
    <xdr:pic>
      <xdr:nvPicPr>
        <xdr:cNvPr id="6" name="Option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3286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20</xdr:row>
      <xdr:rowOff>47625</xdr:rowOff>
    </xdr:from>
    <xdr:to>
      <xdr:col>7</xdr:col>
      <xdr:colOff>219075</xdr:colOff>
      <xdr:row>21</xdr:row>
      <xdr:rowOff>9525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0100" y="37242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23</xdr:row>
      <xdr:rowOff>19050</xdr:rowOff>
    </xdr:from>
    <xdr:to>
      <xdr:col>7</xdr:col>
      <xdr:colOff>228600</xdr:colOff>
      <xdr:row>24</xdr:row>
      <xdr:rowOff>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0100" y="432435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24</xdr:row>
      <xdr:rowOff>19050</xdr:rowOff>
    </xdr:from>
    <xdr:to>
      <xdr:col>7</xdr:col>
      <xdr:colOff>228600</xdr:colOff>
      <xdr:row>25</xdr:row>
      <xdr:rowOff>0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10100" y="45339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25</xdr:row>
      <xdr:rowOff>28575</xdr:rowOff>
    </xdr:from>
    <xdr:to>
      <xdr:col>7</xdr:col>
      <xdr:colOff>228600</xdr:colOff>
      <xdr:row>26</xdr:row>
      <xdr:rowOff>9525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10100" y="475297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28</xdr:row>
      <xdr:rowOff>19050</xdr:rowOff>
    </xdr:from>
    <xdr:to>
      <xdr:col>7</xdr:col>
      <xdr:colOff>219075</xdr:colOff>
      <xdr:row>29</xdr:row>
      <xdr:rowOff>0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00575" y="53721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29</xdr:row>
      <xdr:rowOff>19050</xdr:rowOff>
    </xdr:from>
    <xdr:to>
      <xdr:col>7</xdr:col>
      <xdr:colOff>219075</xdr:colOff>
      <xdr:row>30</xdr:row>
      <xdr:rowOff>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00575" y="5581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30</xdr:row>
      <xdr:rowOff>9525</xdr:rowOff>
    </xdr:from>
    <xdr:to>
      <xdr:col>7</xdr:col>
      <xdr:colOff>209550</xdr:colOff>
      <xdr:row>30</xdr:row>
      <xdr:rowOff>142875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91050" y="5781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19</xdr:row>
      <xdr:rowOff>28575</xdr:rowOff>
    </xdr:from>
    <xdr:to>
      <xdr:col>7</xdr:col>
      <xdr:colOff>238125</xdr:colOff>
      <xdr:row>20</xdr:row>
      <xdr:rowOff>9525</xdr:rowOff>
    </xdr:to>
    <xdr:pic>
      <xdr:nvPicPr>
        <xdr:cNvPr id="14" name="OptionButton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19625" y="3495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10</xdr:row>
      <xdr:rowOff>9525</xdr:rowOff>
    </xdr:from>
    <xdr:to>
      <xdr:col>7</xdr:col>
      <xdr:colOff>276225</xdr:colOff>
      <xdr:row>10</xdr:row>
      <xdr:rowOff>123825</xdr:rowOff>
    </xdr:to>
    <xdr:pic>
      <xdr:nvPicPr>
        <xdr:cNvPr id="15" name="CheckBox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162877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33</xdr:row>
      <xdr:rowOff>28575</xdr:rowOff>
    </xdr:from>
    <xdr:to>
      <xdr:col>7</xdr:col>
      <xdr:colOff>209550</xdr:colOff>
      <xdr:row>34</xdr:row>
      <xdr:rowOff>9525</xdr:rowOff>
    </xdr:to>
    <xdr:pic>
      <xdr:nvPicPr>
        <xdr:cNvPr id="16" name="OptionButton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91050" y="6429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34</xdr:row>
      <xdr:rowOff>28575</xdr:rowOff>
    </xdr:from>
    <xdr:to>
      <xdr:col>7</xdr:col>
      <xdr:colOff>209550</xdr:colOff>
      <xdr:row>35</xdr:row>
      <xdr:rowOff>9525</xdr:rowOff>
    </xdr:to>
    <xdr:pic>
      <xdr:nvPicPr>
        <xdr:cNvPr id="17" name="OptionButton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66389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35</xdr:row>
      <xdr:rowOff>28575</xdr:rowOff>
    </xdr:from>
    <xdr:to>
      <xdr:col>7</xdr:col>
      <xdr:colOff>209550</xdr:colOff>
      <xdr:row>36</xdr:row>
      <xdr:rowOff>9525</xdr:rowOff>
    </xdr:to>
    <xdr:pic>
      <xdr:nvPicPr>
        <xdr:cNvPr id="18" name="OptionButton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91050" y="68484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36</xdr:row>
      <xdr:rowOff>28575</xdr:rowOff>
    </xdr:from>
    <xdr:to>
      <xdr:col>7</xdr:col>
      <xdr:colOff>209550</xdr:colOff>
      <xdr:row>37</xdr:row>
      <xdr:rowOff>9525</xdr:rowOff>
    </xdr:to>
    <xdr:pic>
      <xdr:nvPicPr>
        <xdr:cNvPr id="19" name="OptionButton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91050" y="70580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62</xdr:row>
      <xdr:rowOff>28575</xdr:rowOff>
    </xdr:from>
    <xdr:to>
      <xdr:col>1</xdr:col>
      <xdr:colOff>257175</xdr:colOff>
      <xdr:row>63</xdr:row>
      <xdr:rowOff>9525</xdr:rowOff>
    </xdr:to>
    <xdr:pic>
      <xdr:nvPicPr>
        <xdr:cNvPr id="20" name="OptionButton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4325" y="125063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63</xdr:row>
      <xdr:rowOff>28575</xdr:rowOff>
    </xdr:from>
    <xdr:to>
      <xdr:col>1</xdr:col>
      <xdr:colOff>257175</xdr:colOff>
      <xdr:row>64</xdr:row>
      <xdr:rowOff>9525</xdr:rowOff>
    </xdr:to>
    <xdr:pic>
      <xdr:nvPicPr>
        <xdr:cNvPr id="21" name="OptionButton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4325" y="127158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47</xdr:row>
      <xdr:rowOff>9525</xdr:rowOff>
    </xdr:from>
    <xdr:to>
      <xdr:col>7</xdr:col>
      <xdr:colOff>247650</xdr:colOff>
      <xdr:row>48</xdr:row>
      <xdr:rowOff>0</xdr:rowOff>
    </xdr:to>
    <xdr:pic>
      <xdr:nvPicPr>
        <xdr:cNvPr id="22" name="OptionButton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29150" y="93440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48</xdr:row>
      <xdr:rowOff>28575</xdr:rowOff>
    </xdr:from>
    <xdr:to>
      <xdr:col>7</xdr:col>
      <xdr:colOff>247650</xdr:colOff>
      <xdr:row>49</xdr:row>
      <xdr:rowOff>0</xdr:rowOff>
    </xdr:to>
    <xdr:pic>
      <xdr:nvPicPr>
        <xdr:cNvPr id="23" name="OptionButton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29150" y="95726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5334000</xdr:colOff>
      <xdr:row>0</xdr:row>
      <xdr:rowOff>1085850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9:AH80"/>
  <sheetViews>
    <sheetView showZeros="0" tabSelected="1" zoomScalePageLayoutView="0" workbookViewId="0" topLeftCell="A1">
      <selection activeCell="B9" sqref="B9"/>
    </sheetView>
  </sheetViews>
  <sheetFormatPr defaultColWidth="11.421875" defaultRowHeight="12.75"/>
  <cols>
    <col min="1" max="1" width="2.8515625" style="8" customWidth="1"/>
    <col min="2" max="2" width="5.421875" style="8" customWidth="1"/>
    <col min="3" max="3" width="25.8515625" style="8" customWidth="1"/>
    <col min="4" max="4" width="12.00390625" style="9" customWidth="1"/>
    <col min="5" max="5" width="6.57421875" style="9" customWidth="1"/>
    <col min="6" max="6" width="7.00390625" style="8" customWidth="1"/>
    <col min="7" max="7" width="8.140625" style="10" customWidth="1"/>
    <col min="8" max="8" width="4.140625" style="8" customWidth="1"/>
    <col min="9" max="9" width="10.7109375" style="8" customWidth="1"/>
    <col min="10" max="10" width="22.7109375" style="8" customWidth="1"/>
    <col min="11" max="11" width="5.7109375" style="8" customWidth="1"/>
    <col min="12" max="12" width="5.7109375" style="8" hidden="1" customWidth="1"/>
    <col min="13" max="13" width="15.7109375" style="11" hidden="1" customWidth="1"/>
    <col min="14" max="14" width="7.57421875" style="11" hidden="1" customWidth="1"/>
    <col min="15" max="15" width="8.140625" style="11" hidden="1" customWidth="1"/>
    <col min="16" max="16" width="10.421875" style="12" hidden="1" customWidth="1"/>
    <col min="17" max="17" width="7.140625" style="11" customWidth="1"/>
    <col min="18" max="18" width="10.421875" style="11" customWidth="1"/>
    <col min="19" max="19" width="9.57421875" style="11" customWidth="1"/>
    <col min="20" max="29" width="11.421875" style="11" customWidth="1"/>
    <col min="30" max="30" width="11.421875" style="13" hidden="1" customWidth="1"/>
    <col min="31" max="32" width="11.421875" style="11" hidden="1" customWidth="1"/>
    <col min="33" max="34" width="11.421875" style="13" hidden="1" customWidth="1"/>
    <col min="35" max="45" width="11.421875" style="11" customWidth="1"/>
    <col min="46" max="16384" width="11.57421875" style="8" customWidth="1"/>
  </cols>
  <sheetData>
    <row r="1" ht="14.25"/>
    <row r="2" ht="14.25"/>
    <row r="3" ht="14.25"/>
    <row r="4" ht="14.25"/>
    <row r="5" ht="14.25"/>
    <row r="6" ht="10.5" customHeight="1"/>
    <row r="7" ht="9.75" customHeight="1"/>
    <row r="8" ht="9" customHeight="1"/>
    <row r="9" spans="1:30" ht="14.25">
      <c r="A9" s="14"/>
      <c r="B9" s="15"/>
      <c r="C9" s="15"/>
      <c r="D9" s="16"/>
      <c r="E9" s="16"/>
      <c r="F9" s="15"/>
      <c r="G9" s="15"/>
      <c r="H9" s="15"/>
      <c r="I9" s="15"/>
      <c r="J9" s="15"/>
      <c r="K9" s="17"/>
      <c r="AD9" s="13" t="b">
        <v>0</v>
      </c>
    </row>
    <row r="10" spans="1:14" ht="12.75" customHeight="1">
      <c r="A10" s="18"/>
      <c r="B10" s="19"/>
      <c r="C10" s="20" t="s">
        <v>13</v>
      </c>
      <c r="D10" s="21" t="s">
        <v>71</v>
      </c>
      <c r="E10" s="22"/>
      <c r="F10" s="23"/>
      <c r="G10" s="23"/>
      <c r="H10" s="19"/>
      <c r="I10" s="19"/>
      <c r="J10" s="19"/>
      <c r="K10" s="24"/>
      <c r="M10" s="186" t="s">
        <v>112</v>
      </c>
      <c r="N10" s="187"/>
    </row>
    <row r="11" spans="1:11" ht="13.5">
      <c r="A11" s="18"/>
      <c r="B11" s="19"/>
      <c r="C11" s="20" t="s">
        <v>14</v>
      </c>
      <c r="D11" s="21" t="str">
        <f>IF(D14=J21,"Subsolador","Descompactador")</f>
        <v>Descompactador</v>
      </c>
      <c r="E11" s="22"/>
      <c r="F11" s="21"/>
      <c r="G11" s="21"/>
      <c r="H11" s="26"/>
      <c r="I11" s="191" t="s">
        <v>102</v>
      </c>
      <c r="J11" s="192"/>
      <c r="K11" s="27"/>
    </row>
    <row r="12" spans="1:11" ht="16.5" customHeight="1">
      <c r="A12" s="18"/>
      <c r="B12" s="19"/>
      <c r="C12" s="19"/>
      <c r="D12" s="22"/>
      <c r="E12" s="22"/>
      <c r="F12" s="19"/>
      <c r="G12" s="19"/>
      <c r="H12" s="28"/>
      <c r="I12" s="19"/>
      <c r="J12" s="19"/>
      <c r="K12" s="27"/>
    </row>
    <row r="13" spans="1:33" ht="16.5" customHeight="1">
      <c r="A13" s="18"/>
      <c r="B13" s="166" t="s">
        <v>68</v>
      </c>
      <c r="C13" s="167"/>
      <c r="D13" s="29"/>
      <c r="E13" s="30" t="s">
        <v>29</v>
      </c>
      <c r="F13" s="31"/>
      <c r="G13" s="32"/>
      <c r="H13" s="28"/>
      <c r="I13" s="33" t="s">
        <v>15</v>
      </c>
      <c r="J13" s="34" t="s">
        <v>31</v>
      </c>
      <c r="K13" s="35"/>
      <c r="AD13" s="36"/>
      <c r="AG13" s="37" t="s">
        <v>67</v>
      </c>
    </row>
    <row r="14" spans="1:34" ht="16.5" customHeight="1">
      <c r="A14" s="18"/>
      <c r="B14" s="153" t="s">
        <v>22</v>
      </c>
      <c r="C14" s="154"/>
      <c r="D14" s="38">
        <f>IF(AD19=TRUE,J19,IF(AD21=TRUE,J21,IF(AD20=TRUE,J20)))</f>
        <v>45</v>
      </c>
      <c r="E14" s="39" t="s">
        <v>23</v>
      </c>
      <c r="F14" s="40"/>
      <c r="G14" s="41"/>
      <c r="H14" s="42"/>
      <c r="I14" s="33" t="s">
        <v>16</v>
      </c>
      <c r="J14" s="34">
        <v>40</v>
      </c>
      <c r="K14" s="35"/>
      <c r="AD14" s="36" t="b">
        <v>0</v>
      </c>
      <c r="AG14" s="13">
        <v>50</v>
      </c>
      <c r="AH14" s="13" t="s">
        <v>96</v>
      </c>
    </row>
    <row r="15" spans="1:33" ht="16.5" customHeight="1">
      <c r="A15" s="18"/>
      <c r="B15" s="153" t="s">
        <v>97</v>
      </c>
      <c r="C15" s="154"/>
      <c r="D15" s="38">
        <f>1.5*D14</f>
        <v>67.5</v>
      </c>
      <c r="E15" s="39" t="s">
        <v>23</v>
      </c>
      <c r="F15" s="40"/>
      <c r="G15" s="41"/>
      <c r="H15" s="42"/>
      <c r="I15" s="33" t="s">
        <v>17</v>
      </c>
      <c r="J15" s="34">
        <v>60</v>
      </c>
      <c r="K15" s="35"/>
      <c r="AD15" s="36" t="b">
        <v>1</v>
      </c>
      <c r="AG15" s="13">
        <v>100</v>
      </c>
    </row>
    <row r="16" spans="1:30" ht="16.5" customHeight="1">
      <c r="A16" s="18"/>
      <c r="B16" s="153" t="s">
        <v>25</v>
      </c>
      <c r="C16" s="154"/>
      <c r="D16" s="43">
        <f>(AH18)*D15/100</f>
        <v>2.7</v>
      </c>
      <c r="E16" s="39" t="s">
        <v>26</v>
      </c>
      <c r="F16" s="40"/>
      <c r="G16" s="41"/>
      <c r="H16" s="42"/>
      <c r="I16" s="33" t="s">
        <v>18</v>
      </c>
      <c r="J16" s="34">
        <v>80</v>
      </c>
      <c r="K16" s="35"/>
      <c r="AD16" s="36" t="b">
        <v>0</v>
      </c>
    </row>
    <row r="17" spans="1:33" ht="16.5" customHeight="1">
      <c r="A17" s="18"/>
      <c r="B17" s="153" t="s">
        <v>27</v>
      </c>
      <c r="C17" s="154"/>
      <c r="D17" s="44">
        <f>F17*AH18</f>
        <v>600</v>
      </c>
      <c r="E17" s="39" t="s">
        <v>28</v>
      </c>
      <c r="F17" s="45">
        <v>150</v>
      </c>
      <c r="G17" s="46" t="s">
        <v>114</v>
      </c>
      <c r="H17" s="28"/>
      <c r="I17" s="19"/>
      <c r="J17" s="19"/>
      <c r="K17" s="24"/>
      <c r="AG17" s="37" t="s">
        <v>69</v>
      </c>
    </row>
    <row r="18" spans="1:34" ht="16.5" customHeight="1">
      <c r="A18" s="18"/>
      <c r="B18" s="47"/>
      <c r="C18" s="48"/>
      <c r="D18" s="38"/>
      <c r="E18" s="49"/>
      <c r="F18" s="40"/>
      <c r="G18" s="41"/>
      <c r="H18" s="28"/>
      <c r="I18" s="156" t="s">
        <v>24</v>
      </c>
      <c r="J18" s="157"/>
      <c r="K18" s="35"/>
      <c r="AG18" s="13">
        <v>3</v>
      </c>
      <c r="AH18" s="13" t="s">
        <v>129</v>
      </c>
    </row>
    <row r="19" spans="1:33" ht="16.5" customHeight="1">
      <c r="A19" s="18"/>
      <c r="B19" s="153" t="s">
        <v>30</v>
      </c>
      <c r="C19" s="154"/>
      <c r="D19" s="38">
        <f>IF(AD14=TRUE,J14,IF(AD15=TRUE,J15,IF(AD16=TRUE,J16)))</f>
        <v>60</v>
      </c>
      <c r="E19" s="39" t="s">
        <v>32</v>
      </c>
      <c r="F19" s="40"/>
      <c r="G19" s="41"/>
      <c r="H19" s="42"/>
      <c r="I19" s="33" t="s">
        <v>19</v>
      </c>
      <c r="J19" s="34">
        <v>30</v>
      </c>
      <c r="K19" s="35"/>
      <c r="M19" s="170" t="s">
        <v>82</v>
      </c>
      <c r="N19" s="163" t="s">
        <v>81</v>
      </c>
      <c r="O19" s="50" t="str">
        <f>CONCATENATE(D14," cm")</f>
        <v>45 cm</v>
      </c>
      <c r="P19" s="50" t="s">
        <v>99</v>
      </c>
      <c r="Q19" s="50" t="s">
        <v>101</v>
      </c>
      <c r="R19" s="50" t="s">
        <v>93</v>
      </c>
      <c r="S19" s="51"/>
      <c r="T19" s="51"/>
      <c r="AD19" s="13" t="b">
        <v>0</v>
      </c>
      <c r="AG19" s="13">
        <v>4</v>
      </c>
    </row>
    <row r="20" spans="1:33" ht="16.5" customHeight="1">
      <c r="A20" s="18"/>
      <c r="B20" s="153" t="s">
        <v>95</v>
      </c>
      <c r="C20" s="154"/>
      <c r="D20" s="38" t="str">
        <f>IF(AD9=TRUE,"0.8","0.5")</f>
        <v>0.5</v>
      </c>
      <c r="E20" s="39"/>
      <c r="F20" s="40"/>
      <c r="G20" s="41"/>
      <c r="H20" s="42"/>
      <c r="I20" s="33" t="s">
        <v>20</v>
      </c>
      <c r="J20" s="34">
        <v>45</v>
      </c>
      <c r="K20" s="35"/>
      <c r="M20" s="170"/>
      <c r="N20" s="163"/>
      <c r="O20" s="50" t="str">
        <f>CONCATENATE(AH18," púas")</f>
        <v>4 púas</v>
      </c>
      <c r="P20" s="52">
        <f>(226+1.8*D$22^2)*0.45*D$14*AH$18/10</f>
        <v>2125.845</v>
      </c>
      <c r="Q20" s="53">
        <f>D$22</f>
        <v>4.5</v>
      </c>
      <c r="R20" s="54">
        <f>P20*10*D$22/3600</f>
        <v>26.5730625</v>
      </c>
      <c r="S20" s="51"/>
      <c r="T20" s="51"/>
      <c r="AD20" s="13" t="b">
        <v>1</v>
      </c>
      <c r="AG20" s="13">
        <v>5</v>
      </c>
    </row>
    <row r="21" spans="1:33" ht="16.5" customHeight="1">
      <c r="A21" s="18"/>
      <c r="B21" s="153" t="s">
        <v>33</v>
      </c>
      <c r="C21" s="154"/>
      <c r="D21" s="44">
        <f>D19*D20*D14*0.1*D16*10</f>
        <v>3645</v>
      </c>
      <c r="E21" s="39" t="s">
        <v>34</v>
      </c>
      <c r="F21" s="40"/>
      <c r="G21" s="41"/>
      <c r="H21" s="42"/>
      <c r="I21" s="33" t="s">
        <v>21</v>
      </c>
      <c r="J21" s="34" t="str">
        <f>IF(AH14="50","45","65")</f>
        <v>65</v>
      </c>
      <c r="K21" s="35"/>
      <c r="L21" s="55"/>
      <c r="M21" s="170"/>
      <c r="N21" s="163" t="s">
        <v>79</v>
      </c>
      <c r="O21" s="50" t="str">
        <f>CONCATENATE(D$14," cm")</f>
        <v>45 cm</v>
      </c>
      <c r="P21" s="52" t="s">
        <v>99</v>
      </c>
      <c r="Q21" s="50" t="s">
        <v>101</v>
      </c>
      <c r="R21" s="50" t="s">
        <v>93</v>
      </c>
      <c r="S21" s="51"/>
      <c r="T21" s="51"/>
      <c r="AD21" s="13" t="b">
        <v>0</v>
      </c>
      <c r="AG21" s="13">
        <v>6</v>
      </c>
    </row>
    <row r="22" spans="1:33" ht="16.5" customHeight="1">
      <c r="A22" s="18"/>
      <c r="B22" s="153" t="s">
        <v>35</v>
      </c>
      <c r="C22" s="154"/>
      <c r="D22" s="38">
        <v>4.5</v>
      </c>
      <c r="E22" s="39" t="s">
        <v>36</v>
      </c>
      <c r="F22" s="40"/>
      <c r="G22" s="41"/>
      <c r="H22" s="28"/>
      <c r="I22" s="19"/>
      <c r="J22" s="19"/>
      <c r="K22" s="35"/>
      <c r="L22" s="55"/>
      <c r="M22" s="170"/>
      <c r="N22" s="163"/>
      <c r="O22" s="50" t="str">
        <f>CONCATENATE(AH$18," púas")</f>
        <v>4 púas</v>
      </c>
      <c r="P22" s="52">
        <f>(226+1.8*D$22^2)*0.7*D$14*AH$18/10</f>
        <v>3306.87</v>
      </c>
      <c r="Q22" s="53">
        <f>D$22</f>
        <v>4.5</v>
      </c>
      <c r="R22" s="54">
        <f>P22*10*D$22/3600</f>
        <v>41.335875</v>
      </c>
      <c r="S22" s="51"/>
      <c r="T22" s="51"/>
      <c r="AG22" s="13">
        <v>7</v>
      </c>
    </row>
    <row r="23" spans="1:20" ht="16.5" customHeight="1">
      <c r="A23" s="18"/>
      <c r="B23" s="153" t="s">
        <v>37</v>
      </c>
      <c r="C23" s="154"/>
      <c r="D23" s="56">
        <f>D21*10*D22/3600</f>
        <v>45.5625</v>
      </c>
      <c r="E23" s="39" t="s">
        <v>1</v>
      </c>
      <c r="F23" s="40"/>
      <c r="G23" s="41"/>
      <c r="H23" s="28"/>
      <c r="I23" s="156" t="s">
        <v>47</v>
      </c>
      <c r="J23" s="157"/>
      <c r="K23" s="35"/>
      <c r="L23" s="55"/>
      <c r="M23" s="170"/>
      <c r="N23" s="155" t="s">
        <v>80</v>
      </c>
      <c r="O23" s="50" t="str">
        <f>CONCATENATE(D$14," cm")</f>
        <v>45 cm</v>
      </c>
      <c r="P23" s="52" t="s">
        <v>99</v>
      </c>
      <c r="Q23" s="50" t="s">
        <v>101</v>
      </c>
      <c r="R23" s="50" t="s">
        <v>93</v>
      </c>
      <c r="S23" s="51"/>
      <c r="T23" s="51"/>
    </row>
    <row r="24" spans="1:30" ht="16.5" customHeight="1">
      <c r="A24" s="18"/>
      <c r="B24" s="47"/>
      <c r="C24" s="48"/>
      <c r="D24" s="56">
        <f>D23*1.36</f>
        <v>61.965</v>
      </c>
      <c r="E24" s="39" t="s">
        <v>4</v>
      </c>
      <c r="F24" s="40"/>
      <c r="G24" s="41"/>
      <c r="H24" s="42"/>
      <c r="I24" s="33" t="s">
        <v>19</v>
      </c>
      <c r="J24" s="34">
        <v>0.65</v>
      </c>
      <c r="K24" s="35"/>
      <c r="L24" s="55"/>
      <c r="M24" s="170"/>
      <c r="N24" s="155"/>
      <c r="O24" s="50" t="str">
        <f>CONCATENATE(AH$18," púas")</f>
        <v>4 púas</v>
      </c>
      <c r="P24" s="52">
        <f>(226+1.8*D$22^2)*1*D$14*AH$18/10</f>
        <v>4724.1</v>
      </c>
      <c r="Q24" s="53">
        <f>D$22</f>
        <v>4.5</v>
      </c>
      <c r="R24" s="54">
        <f>P24*10*D$22/3600</f>
        <v>59.05125</v>
      </c>
      <c r="S24" s="51"/>
      <c r="T24" s="51"/>
      <c r="AD24" s="13" t="b">
        <v>0</v>
      </c>
    </row>
    <row r="25" spans="1:30" ht="16.5" customHeight="1">
      <c r="A25" s="18"/>
      <c r="B25" s="153" t="s">
        <v>103</v>
      </c>
      <c r="C25" s="154"/>
      <c r="D25" s="56">
        <f>D24/0.75</f>
        <v>82.62</v>
      </c>
      <c r="E25" s="39" t="s">
        <v>4</v>
      </c>
      <c r="F25" s="40"/>
      <c r="G25" s="41"/>
      <c r="H25" s="42"/>
      <c r="I25" s="33" t="s">
        <v>20</v>
      </c>
      <c r="J25" s="34">
        <v>0.75</v>
      </c>
      <c r="K25" s="35"/>
      <c r="M25" s="51"/>
      <c r="N25" s="51"/>
      <c r="O25" s="51"/>
      <c r="P25" s="52"/>
      <c r="Q25" s="50"/>
      <c r="R25" s="50"/>
      <c r="S25" s="51"/>
      <c r="T25" s="51"/>
      <c r="AD25" s="13" t="b">
        <v>0</v>
      </c>
    </row>
    <row r="26" spans="1:30" ht="16.5" customHeight="1">
      <c r="A26" s="18"/>
      <c r="B26" s="47"/>
      <c r="C26" s="48"/>
      <c r="D26" s="56"/>
      <c r="E26" s="39"/>
      <c r="F26" s="40"/>
      <c r="G26" s="41"/>
      <c r="H26" s="42"/>
      <c r="I26" s="33" t="s">
        <v>21</v>
      </c>
      <c r="J26" s="34">
        <v>0.85</v>
      </c>
      <c r="K26" s="24"/>
      <c r="L26" s="55"/>
      <c r="M26" s="170" t="s">
        <v>92</v>
      </c>
      <c r="N26" s="163" t="s">
        <v>81</v>
      </c>
      <c r="O26" s="50" t="str">
        <f>CONCATENATE(D$14," cm")</f>
        <v>45 cm</v>
      </c>
      <c r="P26" s="52" t="s">
        <v>99</v>
      </c>
      <c r="Q26" s="50" t="s">
        <v>101</v>
      </c>
      <c r="R26" s="50" t="s">
        <v>93</v>
      </c>
      <c r="S26" s="51"/>
      <c r="T26" s="51"/>
      <c r="AD26" s="13" t="b">
        <v>1</v>
      </c>
    </row>
    <row r="27" spans="1:20" ht="16.5" customHeight="1">
      <c r="A27" s="18"/>
      <c r="B27" s="153" t="s">
        <v>87</v>
      </c>
      <c r="C27" s="154"/>
      <c r="D27" s="57">
        <f>10/(D22*D16)</f>
        <v>0.823045267489712</v>
      </c>
      <c r="E27" s="39" t="s">
        <v>38</v>
      </c>
      <c r="F27" s="40"/>
      <c r="G27" s="41"/>
      <c r="H27" s="28"/>
      <c r="I27" s="19"/>
      <c r="J27" s="19"/>
      <c r="K27" s="35"/>
      <c r="L27" s="55"/>
      <c r="M27" s="170"/>
      <c r="N27" s="163"/>
      <c r="O27" s="50" t="str">
        <f>CONCATENATE(AH$18," púas")</f>
        <v>4 púas</v>
      </c>
      <c r="P27" s="52">
        <f>(294+2.4*D$22^2)*0.45*D$14*AH$18/10</f>
        <v>2775.0600000000004</v>
      </c>
      <c r="Q27" s="53">
        <f>D$22</f>
        <v>4.5</v>
      </c>
      <c r="R27" s="54">
        <f>P27*10*D$22/3600</f>
        <v>34.68825000000001</v>
      </c>
      <c r="S27" s="51"/>
      <c r="T27" s="51"/>
    </row>
    <row r="28" spans="1:20" ht="16.5" customHeight="1">
      <c r="A28" s="18"/>
      <c r="B28" s="153" t="s">
        <v>39</v>
      </c>
      <c r="C28" s="154"/>
      <c r="D28" s="38">
        <f>IF(AD24=TRUE,J24,IF(AD25=TRUE,J25,IF(AD26=TRUE,J26)))</f>
        <v>0.85</v>
      </c>
      <c r="E28" s="49"/>
      <c r="F28" s="40"/>
      <c r="G28" s="41"/>
      <c r="H28" s="28"/>
      <c r="I28" s="156" t="s">
        <v>41</v>
      </c>
      <c r="J28" s="157"/>
      <c r="K28" s="35"/>
      <c r="L28" s="55"/>
      <c r="M28" s="170"/>
      <c r="N28" s="163" t="s">
        <v>79</v>
      </c>
      <c r="O28" s="50" t="str">
        <f>CONCATENATE(D$14," cm")</f>
        <v>45 cm</v>
      </c>
      <c r="P28" s="52" t="s">
        <v>99</v>
      </c>
      <c r="Q28" s="50" t="s">
        <v>101</v>
      </c>
      <c r="R28" s="50" t="s">
        <v>93</v>
      </c>
      <c r="S28" s="51"/>
      <c r="T28" s="51"/>
    </row>
    <row r="29" spans="1:30" ht="16.5" customHeight="1">
      <c r="A29" s="18"/>
      <c r="B29" s="158" t="s">
        <v>88</v>
      </c>
      <c r="C29" s="159"/>
      <c r="D29" s="60">
        <f>D27/D28</f>
        <v>0.9682885499878965</v>
      </c>
      <c r="E29" s="61" t="s">
        <v>38</v>
      </c>
      <c r="F29" s="40"/>
      <c r="G29" s="41"/>
      <c r="H29" s="42"/>
      <c r="I29" s="33" t="s">
        <v>83</v>
      </c>
      <c r="J29" s="34">
        <v>25</v>
      </c>
      <c r="K29" s="35"/>
      <c r="L29" s="55"/>
      <c r="M29" s="170"/>
      <c r="N29" s="163"/>
      <c r="O29" s="50" t="str">
        <f>CONCATENATE(AH$18," púas")</f>
        <v>4 púas</v>
      </c>
      <c r="P29" s="52">
        <f>(294+2.4*D$22^2)*0.7*D$14*AH$18/10</f>
        <v>4316.76</v>
      </c>
      <c r="Q29" s="53">
        <f>D$22</f>
        <v>4.5</v>
      </c>
      <c r="R29" s="54">
        <f>P29*10*D$22/3600</f>
        <v>53.959500000000006</v>
      </c>
      <c r="S29" s="51"/>
      <c r="T29" s="51"/>
      <c r="AD29" s="13" t="b">
        <v>0</v>
      </c>
    </row>
    <row r="30" spans="1:30" ht="16.5" customHeight="1">
      <c r="A30" s="18"/>
      <c r="B30" s="47"/>
      <c r="C30" s="62"/>
      <c r="D30" s="60">
        <f>1/D29</f>
        <v>1.0327499999999998</v>
      </c>
      <c r="E30" s="61" t="s">
        <v>40</v>
      </c>
      <c r="F30" s="40"/>
      <c r="G30" s="41"/>
      <c r="H30" s="42"/>
      <c r="I30" s="33" t="s">
        <v>17</v>
      </c>
      <c r="J30" s="34">
        <v>50</v>
      </c>
      <c r="K30" s="35"/>
      <c r="L30" s="55"/>
      <c r="M30" s="170"/>
      <c r="N30" s="155" t="s">
        <v>80</v>
      </c>
      <c r="O30" s="50" t="str">
        <f>CONCATENATE(D$14," cm")</f>
        <v>45 cm</v>
      </c>
      <c r="P30" s="52" t="s">
        <v>99</v>
      </c>
      <c r="Q30" s="50" t="s">
        <v>101</v>
      </c>
      <c r="R30" s="50" t="s">
        <v>93</v>
      </c>
      <c r="S30" s="51"/>
      <c r="T30" s="51"/>
      <c r="AD30" s="13" t="b">
        <v>0</v>
      </c>
    </row>
    <row r="31" spans="1:30" ht="16.5" customHeight="1">
      <c r="A31" s="18"/>
      <c r="B31" s="47"/>
      <c r="C31" s="48"/>
      <c r="D31" s="38"/>
      <c r="E31" s="49"/>
      <c r="F31" s="40"/>
      <c r="G31" s="41"/>
      <c r="H31" s="42"/>
      <c r="I31" s="33" t="s">
        <v>84</v>
      </c>
      <c r="J31" s="34">
        <v>75</v>
      </c>
      <c r="K31" s="24"/>
      <c r="L31" s="55"/>
      <c r="M31" s="170"/>
      <c r="N31" s="155"/>
      <c r="O31" s="50" t="str">
        <f>CONCATENATE(AH$18," púas")</f>
        <v>4 púas</v>
      </c>
      <c r="P31" s="52">
        <f>(294+2.4*D$22^2)*1*D$14*AH$18/10</f>
        <v>6166.800000000001</v>
      </c>
      <c r="Q31" s="53">
        <f>D$22</f>
        <v>4.5</v>
      </c>
      <c r="R31" s="54">
        <f>P31*10*D$22/3600</f>
        <v>77.08500000000002</v>
      </c>
      <c r="S31" s="51"/>
      <c r="T31" s="51"/>
      <c r="AD31" s="13" t="b">
        <v>1</v>
      </c>
    </row>
    <row r="32" spans="1:20" ht="16.5" customHeight="1">
      <c r="A32" s="18"/>
      <c r="B32" s="153" t="s">
        <v>72</v>
      </c>
      <c r="C32" s="154"/>
      <c r="D32" s="38">
        <f>IF(AD29=TRUE,J29,IF(AD30=TRUE,J30,IF(AD31=TRUE,J31)))</f>
        <v>75</v>
      </c>
      <c r="E32" s="39" t="s">
        <v>3</v>
      </c>
      <c r="F32" s="40"/>
      <c r="G32" s="41"/>
      <c r="H32" s="28"/>
      <c r="I32" s="19"/>
      <c r="J32" s="19"/>
      <c r="K32" s="35"/>
      <c r="L32" s="55"/>
      <c r="M32" s="51"/>
      <c r="N32" s="51"/>
      <c r="O32" s="51"/>
      <c r="P32" s="50"/>
      <c r="Q32" s="63"/>
      <c r="R32" s="51"/>
      <c r="S32" s="51"/>
      <c r="T32" s="51"/>
    </row>
    <row r="33" spans="1:20" ht="16.5" customHeight="1">
      <c r="A33" s="18"/>
      <c r="B33" s="153" t="s">
        <v>42</v>
      </c>
      <c r="C33" s="154"/>
      <c r="D33" s="56">
        <f>D25*100/D32</f>
        <v>110.16</v>
      </c>
      <c r="E33" s="39" t="s">
        <v>4</v>
      </c>
      <c r="F33" s="40"/>
      <c r="G33" s="41"/>
      <c r="H33" s="28"/>
      <c r="I33" s="151" t="s">
        <v>46</v>
      </c>
      <c r="J33" s="151"/>
      <c r="K33" s="35"/>
      <c r="L33" s="55"/>
      <c r="M33" s="152" t="s">
        <v>70</v>
      </c>
      <c r="N33" s="152"/>
      <c r="O33" s="152"/>
      <c r="P33" s="152"/>
      <c r="Q33" s="152"/>
      <c r="R33" s="152"/>
      <c r="S33" s="51"/>
      <c r="T33" s="51"/>
    </row>
    <row r="34" spans="1:30" ht="16.5" customHeight="1">
      <c r="A34" s="18"/>
      <c r="B34" s="47"/>
      <c r="C34" s="48"/>
      <c r="D34" s="38"/>
      <c r="E34" s="49"/>
      <c r="F34" s="40"/>
      <c r="G34" s="40"/>
      <c r="H34" s="42"/>
      <c r="I34" s="64" t="s">
        <v>73</v>
      </c>
      <c r="J34" s="34">
        <v>90</v>
      </c>
      <c r="K34" s="35"/>
      <c r="M34" s="152"/>
      <c r="N34" s="152"/>
      <c r="O34" s="152"/>
      <c r="P34" s="152"/>
      <c r="Q34" s="152"/>
      <c r="R34" s="152"/>
      <c r="S34" s="51"/>
      <c r="T34" s="51"/>
      <c r="AD34" s="13" t="b">
        <v>0</v>
      </c>
    </row>
    <row r="35" spans="1:30" ht="16.5" customHeight="1">
      <c r="A35" s="18"/>
      <c r="B35" s="153" t="s">
        <v>105</v>
      </c>
      <c r="C35" s="154"/>
      <c r="D35" s="38" t="str">
        <f>IF(AD34=TRUE,"Pequeño",IF(AD35=TRUE,"Mediano",IF(AD36=TRUE,"Grande",IF(AD37=TRUE,"Muy Grande"))))</f>
        <v>Mediano</v>
      </c>
      <c r="E35" s="39"/>
      <c r="F35" s="40"/>
      <c r="G35" s="40"/>
      <c r="H35" s="42"/>
      <c r="I35" s="33" t="s">
        <v>43</v>
      </c>
      <c r="J35" s="34">
        <v>120</v>
      </c>
      <c r="K35" s="35"/>
      <c r="L35" s="55"/>
      <c r="M35" s="65"/>
      <c r="N35" s="65"/>
      <c r="O35" s="65"/>
      <c r="P35" s="50"/>
      <c r="Q35" s="51"/>
      <c r="R35" s="51"/>
      <c r="S35" s="51"/>
      <c r="T35" s="51"/>
      <c r="AD35" s="13" t="b">
        <v>1</v>
      </c>
    </row>
    <row r="36" spans="1:30" ht="16.5" customHeight="1">
      <c r="A36" s="18"/>
      <c r="B36" s="168" t="s">
        <v>106</v>
      </c>
      <c r="C36" s="169"/>
      <c r="D36" s="66">
        <f>IF(AD34=TRUE,J34,IF(AD35=TRUE,J35,IF(AD36=TRUE,J36,IF(AD37=TRUE,J37,""))))</f>
        <v>120</v>
      </c>
      <c r="E36" s="67" t="s">
        <v>4</v>
      </c>
      <c r="F36" s="68"/>
      <c r="G36" s="68"/>
      <c r="H36" s="42"/>
      <c r="I36" s="33" t="s">
        <v>44</v>
      </c>
      <c r="J36" s="34">
        <v>150</v>
      </c>
      <c r="K36" s="24"/>
      <c r="L36" s="55"/>
      <c r="M36" s="160" t="s">
        <v>116</v>
      </c>
      <c r="N36" s="160"/>
      <c r="O36" s="160"/>
      <c r="P36" s="11"/>
      <c r="S36" s="51"/>
      <c r="T36" s="51"/>
      <c r="AD36" s="13" t="b">
        <v>0</v>
      </c>
    </row>
    <row r="37" spans="1:30" ht="16.5" customHeight="1">
      <c r="A37" s="18"/>
      <c r="B37" s="69"/>
      <c r="C37" s="69"/>
      <c r="D37" s="70"/>
      <c r="E37" s="22"/>
      <c r="F37" s="19"/>
      <c r="G37" s="19"/>
      <c r="H37" s="42"/>
      <c r="I37" s="33" t="s">
        <v>45</v>
      </c>
      <c r="J37" s="34">
        <v>180</v>
      </c>
      <c r="K37" s="35"/>
      <c r="L37" s="55"/>
      <c r="M37" s="164" t="s">
        <v>106</v>
      </c>
      <c r="N37" s="12">
        <f>D36</f>
        <v>120</v>
      </c>
      <c r="O37" s="11" t="s">
        <v>4</v>
      </c>
      <c r="P37" s="11"/>
      <c r="S37" s="51"/>
      <c r="T37" s="51"/>
      <c r="AD37" s="13" t="b">
        <v>0</v>
      </c>
    </row>
    <row r="38" spans="1:20" ht="16.5" customHeight="1">
      <c r="A38" s="18"/>
      <c r="B38" s="175" t="s">
        <v>85</v>
      </c>
      <c r="C38" s="176"/>
      <c r="D38" s="71"/>
      <c r="E38" s="72"/>
      <c r="F38" s="19"/>
      <c r="G38" s="19"/>
      <c r="H38" s="28"/>
      <c r="I38" s="19"/>
      <c r="J38" s="19"/>
      <c r="K38" s="35"/>
      <c r="L38" s="55"/>
      <c r="M38" s="164"/>
      <c r="N38" s="73">
        <f>N37/1.36</f>
        <v>88.23529411764706</v>
      </c>
      <c r="O38" s="11" t="s">
        <v>1</v>
      </c>
      <c r="P38" s="11"/>
      <c r="Q38" s="161" t="s">
        <v>117</v>
      </c>
      <c r="R38" s="161"/>
      <c r="S38" s="51"/>
      <c r="T38" s="51"/>
    </row>
    <row r="39" spans="1:20" ht="16.5" customHeight="1">
      <c r="A39" s="18"/>
      <c r="B39" s="153" t="s">
        <v>9</v>
      </c>
      <c r="C39" s="154"/>
      <c r="D39" s="57">
        <f>IF(D32=J29,J41*D36/1.36,IF(D32=J30,J42*D36/1.36,IF(D32=J31,J43*D36/1.36)))</f>
        <v>18.26470588235294</v>
      </c>
      <c r="E39" s="46" t="s">
        <v>12</v>
      </c>
      <c r="F39" s="19"/>
      <c r="G39" s="19"/>
      <c r="H39" s="28"/>
      <c r="I39" s="151" t="s">
        <v>48</v>
      </c>
      <c r="J39" s="151"/>
      <c r="K39" s="35"/>
      <c r="M39" s="165" t="s">
        <v>120</v>
      </c>
      <c r="N39" s="12">
        <f>+I63</f>
        <v>560</v>
      </c>
      <c r="O39" s="11" t="s">
        <v>7</v>
      </c>
      <c r="P39" s="11"/>
      <c r="Q39" s="161"/>
      <c r="R39" s="161"/>
      <c r="S39" s="51"/>
      <c r="T39" s="51"/>
    </row>
    <row r="40" spans="1:30" ht="16.5" customHeight="1">
      <c r="A40" s="18"/>
      <c r="B40" s="47"/>
      <c r="C40" s="48"/>
      <c r="D40" s="57">
        <f>D39*D29</f>
        <v>17.68550557477893</v>
      </c>
      <c r="E40" s="46" t="s">
        <v>91</v>
      </c>
      <c r="F40" s="19"/>
      <c r="G40" s="19"/>
      <c r="H40" s="28"/>
      <c r="I40" s="33" t="s">
        <v>49</v>
      </c>
      <c r="J40" s="34" t="s">
        <v>100</v>
      </c>
      <c r="K40" s="35"/>
      <c r="M40" s="165"/>
      <c r="N40" s="74">
        <f>N38*N39</f>
        <v>49411.76470588235</v>
      </c>
      <c r="O40" s="11" t="s">
        <v>0</v>
      </c>
      <c r="P40" s="11"/>
      <c r="Q40" s="73" t="s">
        <v>61</v>
      </c>
      <c r="R40" s="75" t="s">
        <v>118</v>
      </c>
      <c r="S40" s="51"/>
      <c r="T40" s="51"/>
      <c r="AD40" s="13" t="b">
        <v>0</v>
      </c>
    </row>
    <row r="41" spans="1:30" ht="16.5" customHeight="1">
      <c r="A41" s="18"/>
      <c r="B41" s="153" t="s">
        <v>50</v>
      </c>
      <c r="C41" s="154"/>
      <c r="D41" s="76">
        <f>D39*0.1/100</f>
        <v>0.01826470588235294</v>
      </c>
      <c r="E41" s="46" t="s">
        <v>12</v>
      </c>
      <c r="F41" s="19"/>
      <c r="G41" s="19"/>
      <c r="H41" s="28"/>
      <c r="I41" s="33" t="s">
        <v>19</v>
      </c>
      <c r="J41" s="77">
        <v>0.1</v>
      </c>
      <c r="K41" s="35"/>
      <c r="L41" s="55"/>
      <c r="M41" s="165" t="s">
        <v>119</v>
      </c>
      <c r="N41" s="74">
        <v>12000</v>
      </c>
      <c r="O41" s="11" t="s">
        <v>2</v>
      </c>
      <c r="P41" s="11"/>
      <c r="Q41" s="74">
        <v>500</v>
      </c>
      <c r="R41" s="73">
        <f>$N$40/$N$41+$N$40/($N$42*Q41)+($N$40*$N$43*0.6)/(Q41*100)+($N$40*(($N$45+$N$44)/(Q41*100)))+$N$38*$N$47*$N$46</f>
        <v>14.967058823529412</v>
      </c>
      <c r="S41" s="51"/>
      <c r="T41" s="51"/>
      <c r="AD41" s="13" t="b">
        <v>0</v>
      </c>
    </row>
    <row r="42" spans="1:20" ht="16.5" customHeight="1">
      <c r="A42" s="18"/>
      <c r="B42" s="47"/>
      <c r="C42" s="48"/>
      <c r="D42" s="76">
        <f>D40*0.1/100</f>
        <v>0.01768550557477893</v>
      </c>
      <c r="E42" s="46" t="s">
        <v>91</v>
      </c>
      <c r="F42" s="19"/>
      <c r="G42" s="19"/>
      <c r="H42" s="28"/>
      <c r="I42" s="33" t="s">
        <v>20</v>
      </c>
      <c r="J42" s="77">
        <v>0.15</v>
      </c>
      <c r="K42" s="24"/>
      <c r="L42" s="55"/>
      <c r="M42" s="165"/>
      <c r="N42" s="12">
        <v>20</v>
      </c>
      <c r="O42" s="11" t="s">
        <v>5</v>
      </c>
      <c r="P42" s="11"/>
      <c r="Q42" s="74">
        <v>1000</v>
      </c>
      <c r="R42" s="73">
        <f>$N$40/$N$41+$N$40/($N$42*Q42)+($N$40*$N$43*0.6)/(Q42*100)+($N$40*(($N$45+$N$44)/(Q42*100)))+$N$38*$N$47*$N$46</f>
        <v>10.865882352941176</v>
      </c>
      <c r="S42" s="51"/>
      <c r="T42" s="51"/>
    </row>
    <row r="43" spans="1:20" ht="16.5" customHeight="1" thickBot="1">
      <c r="A43" s="18"/>
      <c r="B43" s="171" t="s">
        <v>89</v>
      </c>
      <c r="C43" s="172"/>
      <c r="D43" s="78">
        <v>1</v>
      </c>
      <c r="E43" s="79" t="s">
        <v>6</v>
      </c>
      <c r="F43" s="19"/>
      <c r="G43" s="19"/>
      <c r="H43" s="28"/>
      <c r="I43" s="33" t="s">
        <v>21</v>
      </c>
      <c r="J43" s="77">
        <v>0.207</v>
      </c>
      <c r="K43" s="35"/>
      <c r="L43" s="55"/>
      <c r="M43" s="25" t="s">
        <v>121</v>
      </c>
      <c r="N43" s="36">
        <f>+D54</f>
        <v>5</v>
      </c>
      <c r="O43" s="11" t="s">
        <v>3</v>
      </c>
      <c r="P43" s="11"/>
      <c r="S43" s="51"/>
      <c r="T43" s="51"/>
    </row>
    <row r="44" spans="1:20" ht="16.5" customHeight="1" thickTop="1">
      <c r="A44" s="18"/>
      <c r="B44" s="58" t="s">
        <v>90</v>
      </c>
      <c r="C44" s="59"/>
      <c r="D44" s="80">
        <f>D43*D39</f>
        <v>18.26470588235294</v>
      </c>
      <c r="E44" s="81" t="s">
        <v>62</v>
      </c>
      <c r="F44" s="19"/>
      <c r="G44" s="19"/>
      <c r="H44" s="28"/>
      <c r="I44" s="19"/>
      <c r="J44" s="19"/>
      <c r="K44" s="35"/>
      <c r="L44" s="55"/>
      <c r="M44" s="25" t="s">
        <v>8</v>
      </c>
      <c r="N44" s="36">
        <v>0.2</v>
      </c>
      <c r="O44" s="11" t="s">
        <v>3</v>
      </c>
      <c r="P44" s="11"/>
      <c r="S44" s="82"/>
      <c r="T44" s="51"/>
    </row>
    <row r="45" spans="1:20" ht="16.5" customHeight="1">
      <c r="A45" s="18"/>
      <c r="B45" s="83"/>
      <c r="C45" s="84"/>
      <c r="D45" s="85">
        <f>D40*D43</f>
        <v>17.68550557477893</v>
      </c>
      <c r="E45" s="86" t="s">
        <v>60</v>
      </c>
      <c r="F45" s="19"/>
      <c r="G45" s="19"/>
      <c r="H45" s="19"/>
      <c r="I45" s="19"/>
      <c r="J45" s="19"/>
      <c r="K45" s="87"/>
      <c r="M45" s="25" t="s">
        <v>10</v>
      </c>
      <c r="N45" s="36">
        <v>0.1</v>
      </c>
      <c r="O45" s="11" t="s">
        <v>3</v>
      </c>
      <c r="P45" s="51"/>
      <c r="Q45" s="51"/>
      <c r="R45" s="51"/>
      <c r="S45" s="82"/>
      <c r="T45" s="51"/>
    </row>
    <row r="46" spans="1:20" ht="16.5" customHeight="1">
      <c r="A46" s="18"/>
      <c r="B46" s="69"/>
      <c r="C46" s="69"/>
      <c r="D46" s="22"/>
      <c r="E46" s="22"/>
      <c r="F46" s="19"/>
      <c r="G46" s="19"/>
      <c r="H46" s="19"/>
      <c r="I46" s="19"/>
      <c r="J46" s="19"/>
      <c r="K46" s="87"/>
      <c r="M46" s="88" t="s">
        <v>115</v>
      </c>
      <c r="N46" s="36">
        <v>0.2</v>
      </c>
      <c r="O46" s="89" t="s">
        <v>6</v>
      </c>
      <c r="P46" s="51"/>
      <c r="Q46" s="51"/>
      <c r="R46" s="51"/>
      <c r="S46" s="82"/>
      <c r="T46" s="51"/>
    </row>
    <row r="47" spans="1:20" ht="16.5" customHeight="1">
      <c r="A47" s="18"/>
      <c r="B47" s="175" t="s">
        <v>86</v>
      </c>
      <c r="C47" s="176"/>
      <c r="D47" s="71"/>
      <c r="E47" s="71"/>
      <c r="F47" s="90"/>
      <c r="G47" s="91"/>
      <c r="H47" s="19"/>
      <c r="I47" s="151" t="s">
        <v>111</v>
      </c>
      <c r="J47" s="151"/>
      <c r="K47" s="87"/>
      <c r="M47" s="88" t="s">
        <v>122</v>
      </c>
      <c r="N47" s="92">
        <v>0.15</v>
      </c>
      <c r="O47" s="89" t="s">
        <v>11</v>
      </c>
      <c r="P47" s="51"/>
      <c r="Q47" s="51"/>
      <c r="R47" s="51"/>
      <c r="S47" s="51"/>
      <c r="T47" s="51"/>
    </row>
    <row r="48" spans="1:30" ht="16.5" customHeight="1">
      <c r="A48" s="18"/>
      <c r="B48" s="153" t="s">
        <v>64</v>
      </c>
      <c r="C48" s="154"/>
      <c r="D48" s="38">
        <f>IF(AD48=TRUE,J48,J49)</f>
        <v>100</v>
      </c>
      <c r="E48" s="39" t="s">
        <v>61</v>
      </c>
      <c r="F48" s="40"/>
      <c r="G48" s="41"/>
      <c r="H48" s="26"/>
      <c r="I48" s="33" t="s">
        <v>19</v>
      </c>
      <c r="J48" s="93">
        <v>100</v>
      </c>
      <c r="K48" s="24"/>
      <c r="AD48" s="13" t="b">
        <v>1</v>
      </c>
    </row>
    <row r="49" spans="1:30" ht="16.5" customHeight="1">
      <c r="A49" s="18"/>
      <c r="B49" s="47"/>
      <c r="C49" s="48"/>
      <c r="D49" s="38"/>
      <c r="E49" s="49"/>
      <c r="F49" s="40"/>
      <c r="G49" s="41"/>
      <c r="H49" s="26"/>
      <c r="I49" s="33" t="s">
        <v>21</v>
      </c>
      <c r="J49" s="94">
        <v>200</v>
      </c>
      <c r="K49" s="35"/>
      <c r="AD49" s="13" t="b">
        <v>0</v>
      </c>
    </row>
    <row r="50" spans="1:20" ht="16.5" customHeight="1">
      <c r="A50" s="18"/>
      <c r="B50" s="153" t="s">
        <v>51</v>
      </c>
      <c r="C50" s="154"/>
      <c r="D50" s="44">
        <f>F50*D16</f>
        <v>5346</v>
      </c>
      <c r="E50" s="39" t="s">
        <v>0</v>
      </c>
      <c r="F50" s="95">
        <v>1980</v>
      </c>
      <c r="G50" s="96" t="s">
        <v>113</v>
      </c>
      <c r="H50" s="19"/>
      <c r="I50" s="19"/>
      <c r="J50" s="19"/>
      <c r="K50" s="35"/>
      <c r="M50" s="163" t="s">
        <v>74</v>
      </c>
      <c r="N50" s="163" t="s">
        <v>75</v>
      </c>
      <c r="O50" s="163" t="s">
        <v>76</v>
      </c>
      <c r="P50" s="163" t="s">
        <v>104</v>
      </c>
      <c r="Q50" s="163" t="s">
        <v>77</v>
      </c>
      <c r="R50" s="163" t="s">
        <v>98</v>
      </c>
      <c r="S50" s="163" t="s">
        <v>78</v>
      </c>
      <c r="T50" s="163" t="s">
        <v>94</v>
      </c>
    </row>
    <row r="51" spans="1:20" ht="16.5" customHeight="1">
      <c r="A51" s="18"/>
      <c r="B51" s="97"/>
      <c r="C51" s="40"/>
      <c r="D51" s="44"/>
      <c r="E51" s="49"/>
      <c r="F51" s="40"/>
      <c r="G51" s="41"/>
      <c r="H51" s="19"/>
      <c r="I51" s="19"/>
      <c r="J51" s="19"/>
      <c r="K51" s="98"/>
      <c r="M51" s="163"/>
      <c r="N51" s="163"/>
      <c r="O51" s="163"/>
      <c r="P51" s="163"/>
      <c r="Q51" s="163"/>
      <c r="R51" s="163"/>
      <c r="S51" s="163"/>
      <c r="T51" s="163"/>
    </row>
    <row r="52" spans="1:20" ht="16.5" customHeight="1">
      <c r="A52" s="18"/>
      <c r="B52" s="153" t="s">
        <v>52</v>
      </c>
      <c r="C52" s="154"/>
      <c r="D52" s="99">
        <v>3000</v>
      </c>
      <c r="E52" s="39" t="s">
        <v>58</v>
      </c>
      <c r="F52" s="57">
        <f>+$D$50/$D52</f>
        <v>1.782</v>
      </c>
      <c r="G52" s="96" t="s">
        <v>62</v>
      </c>
      <c r="H52" s="19"/>
      <c r="I52" s="19"/>
      <c r="J52" s="19"/>
      <c r="K52" s="24"/>
      <c r="M52" s="50">
        <v>180</v>
      </c>
      <c r="N52" s="50">
        <v>75</v>
      </c>
      <c r="O52" s="50">
        <f>N52/100*M52</f>
        <v>135</v>
      </c>
      <c r="P52" s="53">
        <f aca="true" t="shared" si="0" ref="P52:P63">0.75*O52</f>
        <v>101.25</v>
      </c>
      <c r="Q52" s="50">
        <f aca="true" t="shared" si="1" ref="Q52:Q63">$D$22</f>
        <v>4.5</v>
      </c>
      <c r="R52" s="50">
        <f aca="true" t="shared" si="2" ref="R52:R63">J$15*D$20</f>
        <v>30</v>
      </c>
      <c r="S52" s="50">
        <f aca="true" t="shared" si="3" ref="S52:S63">D$14</f>
        <v>45</v>
      </c>
      <c r="T52" s="54">
        <f aca="true" t="shared" si="4" ref="T52:T63">P52*3600*0.1/(1.36*Q52*R52*S52)</f>
        <v>4.411764705882353</v>
      </c>
    </row>
    <row r="53" spans="1:20" ht="16.5" customHeight="1">
      <c r="A53" s="18"/>
      <c r="B53" s="153" t="s">
        <v>53</v>
      </c>
      <c r="C53" s="154"/>
      <c r="D53" s="100">
        <v>20</v>
      </c>
      <c r="E53" s="39" t="s">
        <v>5</v>
      </c>
      <c r="F53" s="57">
        <f>+$D$50/($D53*D48)</f>
        <v>2.673</v>
      </c>
      <c r="G53" s="96" t="s">
        <v>62</v>
      </c>
      <c r="H53" s="19"/>
      <c r="I53" s="19"/>
      <c r="J53" s="19"/>
      <c r="K53" s="24"/>
      <c r="M53" s="50">
        <v>180</v>
      </c>
      <c r="N53" s="50">
        <v>50</v>
      </c>
      <c r="O53" s="50">
        <f aca="true" t="shared" si="5" ref="O53:O63">N53/100*M53</f>
        <v>90</v>
      </c>
      <c r="P53" s="53">
        <f t="shared" si="0"/>
        <v>67.5</v>
      </c>
      <c r="Q53" s="50">
        <f t="shared" si="1"/>
        <v>4.5</v>
      </c>
      <c r="R53" s="50">
        <f t="shared" si="2"/>
        <v>30</v>
      </c>
      <c r="S53" s="50">
        <f t="shared" si="3"/>
        <v>45</v>
      </c>
      <c r="T53" s="54">
        <f t="shared" si="4"/>
        <v>2.9411764705882355</v>
      </c>
    </row>
    <row r="54" spans="1:20" ht="16.5" customHeight="1">
      <c r="A54" s="18"/>
      <c r="B54" s="153" t="s">
        <v>54</v>
      </c>
      <c r="C54" s="154"/>
      <c r="D54" s="100">
        <v>5</v>
      </c>
      <c r="E54" s="39" t="s">
        <v>3</v>
      </c>
      <c r="F54" s="57">
        <f>+$D$50*0.006*$D54/D48</f>
        <v>1.6038</v>
      </c>
      <c r="G54" s="96" t="s">
        <v>62</v>
      </c>
      <c r="H54" s="19"/>
      <c r="I54" s="193" t="str">
        <f>CONCATENATE("Vida útil para ",D48," h/año")</f>
        <v>Vida útil para 100 h/año</v>
      </c>
      <c r="J54" s="194"/>
      <c r="K54" s="101"/>
      <c r="M54" s="50">
        <v>180</v>
      </c>
      <c r="N54" s="50">
        <v>25</v>
      </c>
      <c r="O54" s="50">
        <f t="shared" si="5"/>
        <v>45</v>
      </c>
      <c r="P54" s="53">
        <f t="shared" si="0"/>
        <v>33.75</v>
      </c>
      <c r="Q54" s="50">
        <f t="shared" si="1"/>
        <v>4.5</v>
      </c>
      <c r="R54" s="50">
        <f t="shared" si="2"/>
        <v>30</v>
      </c>
      <c r="S54" s="50">
        <f t="shared" si="3"/>
        <v>45</v>
      </c>
      <c r="T54" s="54">
        <f t="shared" si="4"/>
        <v>1.4705882352941178</v>
      </c>
    </row>
    <row r="55" spans="1:20" ht="16.5" customHeight="1">
      <c r="A55" s="18"/>
      <c r="B55" s="153" t="s">
        <v>55</v>
      </c>
      <c r="C55" s="154"/>
      <c r="D55" s="100">
        <v>0.2</v>
      </c>
      <c r="E55" s="39" t="s">
        <v>59</v>
      </c>
      <c r="F55" s="57">
        <f>+$D$50*$D55/(100*D48)</f>
        <v>0.10692</v>
      </c>
      <c r="G55" s="96" t="s">
        <v>62</v>
      </c>
      <c r="H55" s="19"/>
      <c r="I55" s="102" t="s">
        <v>58</v>
      </c>
      <c r="J55" s="103">
        <f>+$D$50/($F$52+$F$53)</f>
        <v>1200</v>
      </c>
      <c r="K55" s="104"/>
      <c r="M55" s="50">
        <v>150</v>
      </c>
      <c r="N55" s="50">
        <v>75</v>
      </c>
      <c r="O55" s="50">
        <f t="shared" si="5"/>
        <v>112.5</v>
      </c>
      <c r="P55" s="53">
        <f t="shared" si="0"/>
        <v>84.375</v>
      </c>
      <c r="Q55" s="50">
        <f t="shared" si="1"/>
        <v>4.5</v>
      </c>
      <c r="R55" s="50">
        <f t="shared" si="2"/>
        <v>30</v>
      </c>
      <c r="S55" s="50">
        <f t="shared" si="3"/>
        <v>45</v>
      </c>
      <c r="T55" s="54">
        <f t="shared" si="4"/>
        <v>3.676470588235294</v>
      </c>
    </row>
    <row r="56" spans="1:20" ht="16.5" customHeight="1">
      <c r="A56" s="18"/>
      <c r="B56" s="153" t="s">
        <v>56</v>
      </c>
      <c r="C56" s="154"/>
      <c r="D56" s="100">
        <v>0.1</v>
      </c>
      <c r="E56" s="39" t="s">
        <v>59</v>
      </c>
      <c r="F56" s="57">
        <f>+$D$50*$D56/(D48*100)</f>
        <v>0.05346</v>
      </c>
      <c r="G56" s="96" t="s">
        <v>62</v>
      </c>
      <c r="H56" s="19"/>
      <c r="I56" s="102" t="s">
        <v>5</v>
      </c>
      <c r="J56" s="105">
        <f>+$D$50/($D$48*($F$52+$F$53))</f>
        <v>12</v>
      </c>
      <c r="K56" s="106"/>
      <c r="M56" s="50">
        <v>150</v>
      </c>
      <c r="N56" s="50">
        <v>50</v>
      </c>
      <c r="O56" s="50">
        <f t="shared" si="5"/>
        <v>75</v>
      </c>
      <c r="P56" s="53">
        <f t="shared" si="0"/>
        <v>56.25</v>
      </c>
      <c r="Q56" s="50">
        <f t="shared" si="1"/>
        <v>4.5</v>
      </c>
      <c r="R56" s="50">
        <f t="shared" si="2"/>
        <v>30</v>
      </c>
      <c r="S56" s="50">
        <f t="shared" si="3"/>
        <v>45</v>
      </c>
      <c r="T56" s="54">
        <f t="shared" si="4"/>
        <v>2.450980392156863</v>
      </c>
    </row>
    <row r="57" spans="1:20" ht="16.5" customHeight="1" thickBot="1">
      <c r="A57" s="18"/>
      <c r="B57" s="173" t="s">
        <v>57</v>
      </c>
      <c r="C57" s="174"/>
      <c r="D57" s="78">
        <v>2.1</v>
      </c>
      <c r="E57" s="107" t="s">
        <v>60</v>
      </c>
      <c r="F57" s="108">
        <f>+D57/D29</f>
        <v>2.1687749999999997</v>
      </c>
      <c r="G57" s="109" t="s">
        <v>62</v>
      </c>
      <c r="H57" s="19"/>
      <c r="I57" s="19"/>
      <c r="J57" s="19"/>
      <c r="K57" s="24"/>
      <c r="M57" s="50">
        <v>150</v>
      </c>
      <c r="N57" s="50">
        <v>25</v>
      </c>
      <c r="O57" s="50">
        <f t="shared" si="5"/>
        <v>37.5</v>
      </c>
      <c r="P57" s="53">
        <f t="shared" si="0"/>
        <v>28.125</v>
      </c>
      <c r="Q57" s="50">
        <f t="shared" si="1"/>
        <v>4.5</v>
      </c>
      <c r="R57" s="50">
        <f t="shared" si="2"/>
        <v>30</v>
      </c>
      <c r="S57" s="50">
        <f t="shared" si="3"/>
        <v>45</v>
      </c>
      <c r="T57" s="54">
        <f t="shared" si="4"/>
        <v>1.2254901960784315</v>
      </c>
    </row>
    <row r="58" spans="1:20" ht="16.5" customHeight="1" thickTop="1">
      <c r="A58" s="18"/>
      <c r="B58" s="58" t="s">
        <v>63</v>
      </c>
      <c r="D58" s="49"/>
      <c r="E58" s="49"/>
      <c r="F58" s="57">
        <f>SUM(F52:F57)</f>
        <v>8.387955</v>
      </c>
      <c r="G58" s="96" t="s">
        <v>62</v>
      </c>
      <c r="H58" s="19"/>
      <c r="I58" s="19"/>
      <c r="J58" s="19"/>
      <c r="K58" s="24"/>
      <c r="M58" s="50">
        <v>120</v>
      </c>
      <c r="N58" s="50">
        <v>75</v>
      </c>
      <c r="O58" s="50">
        <f t="shared" si="5"/>
        <v>90</v>
      </c>
      <c r="P58" s="53">
        <f t="shared" si="0"/>
        <v>67.5</v>
      </c>
      <c r="Q58" s="50">
        <f t="shared" si="1"/>
        <v>4.5</v>
      </c>
      <c r="R58" s="50">
        <f t="shared" si="2"/>
        <v>30</v>
      </c>
      <c r="S58" s="50">
        <f t="shared" si="3"/>
        <v>45</v>
      </c>
      <c r="T58" s="54">
        <f t="shared" si="4"/>
        <v>2.9411764705882355</v>
      </c>
    </row>
    <row r="59" spans="1:20" ht="16.5" customHeight="1">
      <c r="A59" s="18"/>
      <c r="B59" s="110"/>
      <c r="C59" s="111"/>
      <c r="D59" s="112"/>
      <c r="E59" s="112"/>
      <c r="F59" s="113">
        <f>+F58*D29</f>
        <v>8.121960784313726</v>
      </c>
      <c r="G59" s="114" t="s">
        <v>60</v>
      </c>
      <c r="H59" s="19"/>
      <c r="I59" s="19"/>
      <c r="J59" s="19"/>
      <c r="K59" s="24"/>
      <c r="M59" s="50">
        <v>120</v>
      </c>
      <c r="N59" s="50">
        <v>50</v>
      </c>
      <c r="O59" s="50">
        <f t="shared" si="5"/>
        <v>60</v>
      </c>
      <c r="P59" s="53">
        <f t="shared" si="0"/>
        <v>45</v>
      </c>
      <c r="Q59" s="50">
        <f t="shared" si="1"/>
        <v>4.5</v>
      </c>
      <c r="R59" s="50">
        <f t="shared" si="2"/>
        <v>30</v>
      </c>
      <c r="S59" s="50">
        <f t="shared" si="3"/>
        <v>45</v>
      </c>
      <c r="T59" s="54">
        <f t="shared" si="4"/>
        <v>1.9607843137254901</v>
      </c>
    </row>
    <row r="60" spans="1:20" ht="16.5" customHeight="1">
      <c r="A60" s="19"/>
      <c r="B60" s="19"/>
      <c r="C60" s="19"/>
      <c r="D60" s="22"/>
      <c r="E60" s="22"/>
      <c r="F60" s="19"/>
      <c r="G60" s="28"/>
      <c r="H60" s="19"/>
      <c r="I60" s="19"/>
      <c r="J60" s="19"/>
      <c r="K60" s="24"/>
      <c r="M60" s="50">
        <v>120</v>
      </c>
      <c r="N60" s="50">
        <v>25</v>
      </c>
      <c r="O60" s="50">
        <f t="shared" si="5"/>
        <v>30</v>
      </c>
      <c r="P60" s="53">
        <f t="shared" si="0"/>
        <v>22.5</v>
      </c>
      <c r="Q60" s="50">
        <f t="shared" si="1"/>
        <v>4.5</v>
      </c>
      <c r="R60" s="50">
        <f t="shared" si="2"/>
        <v>30</v>
      </c>
      <c r="S60" s="50">
        <f t="shared" si="3"/>
        <v>45</v>
      </c>
      <c r="T60" s="54">
        <f t="shared" si="4"/>
        <v>0.9803921568627451</v>
      </c>
    </row>
    <row r="61" spans="1:20" ht="16.5" customHeight="1">
      <c r="A61" s="18"/>
      <c r="B61" s="180" t="s">
        <v>66</v>
      </c>
      <c r="C61" s="180"/>
      <c r="D61" s="180"/>
      <c r="E61" s="179" t="s">
        <v>123</v>
      </c>
      <c r="F61" s="179"/>
      <c r="G61" s="115"/>
      <c r="H61" s="19"/>
      <c r="I61" s="19"/>
      <c r="J61" s="19"/>
      <c r="K61" s="24"/>
      <c r="M61" s="50">
        <v>90</v>
      </c>
      <c r="N61" s="50">
        <v>75</v>
      </c>
      <c r="O61" s="50">
        <f t="shared" si="5"/>
        <v>67.5</v>
      </c>
      <c r="P61" s="53">
        <f t="shared" si="0"/>
        <v>50.625</v>
      </c>
      <c r="Q61" s="50">
        <f t="shared" si="1"/>
        <v>4.5</v>
      </c>
      <c r="R61" s="50">
        <f t="shared" si="2"/>
        <v>30</v>
      </c>
      <c r="S61" s="50">
        <f t="shared" si="3"/>
        <v>45</v>
      </c>
      <c r="T61" s="54">
        <f t="shared" si="4"/>
        <v>2.2058823529411766</v>
      </c>
    </row>
    <row r="62" spans="1:20" ht="16.5" customHeight="1">
      <c r="A62" s="18"/>
      <c r="B62" s="181" t="s">
        <v>110</v>
      </c>
      <c r="C62" s="182"/>
      <c r="D62" s="116" t="s">
        <v>109</v>
      </c>
      <c r="E62" s="102" t="s">
        <v>62</v>
      </c>
      <c r="F62" s="102" t="s">
        <v>60</v>
      </c>
      <c r="G62" s="115"/>
      <c r="H62" s="19"/>
      <c r="I62" s="162" t="s">
        <v>130</v>
      </c>
      <c r="J62" s="162"/>
      <c r="K62" s="24"/>
      <c r="M62" s="50">
        <v>90</v>
      </c>
      <c r="N62" s="50">
        <v>50</v>
      </c>
      <c r="O62" s="50">
        <f t="shared" si="5"/>
        <v>45</v>
      </c>
      <c r="P62" s="53">
        <f t="shared" si="0"/>
        <v>33.75</v>
      </c>
      <c r="Q62" s="50">
        <f t="shared" si="1"/>
        <v>4.5</v>
      </c>
      <c r="R62" s="50">
        <f t="shared" si="2"/>
        <v>30</v>
      </c>
      <c r="S62" s="50">
        <f t="shared" si="3"/>
        <v>45</v>
      </c>
      <c r="T62" s="54">
        <f t="shared" si="4"/>
        <v>1.4705882352941178</v>
      </c>
    </row>
    <row r="63" spans="1:20" ht="16.5" customHeight="1">
      <c r="A63" s="18"/>
      <c r="B63" s="33"/>
      <c r="C63" s="33" t="s">
        <v>108</v>
      </c>
      <c r="D63" s="117">
        <f>R41</f>
        <v>14.967058823529412</v>
      </c>
      <c r="E63" s="105">
        <f>IF(AD69=TRUE,D63+D44,D63*0)</f>
        <v>0</v>
      </c>
      <c r="F63" s="118">
        <f>E63*$D$29</f>
        <v>0</v>
      </c>
      <c r="G63" s="119">
        <f>IF(AD69=TRUE,F63,F63*0)</f>
        <v>0</v>
      </c>
      <c r="H63" s="19"/>
      <c r="I63" s="120">
        <v>560</v>
      </c>
      <c r="J63" s="121" t="s">
        <v>131</v>
      </c>
      <c r="K63" s="24"/>
      <c r="M63" s="50">
        <v>90</v>
      </c>
      <c r="N63" s="50">
        <v>25</v>
      </c>
      <c r="O63" s="50">
        <f t="shared" si="5"/>
        <v>22.5</v>
      </c>
      <c r="P63" s="53">
        <f t="shared" si="0"/>
        <v>16.875</v>
      </c>
      <c r="Q63" s="50">
        <f t="shared" si="1"/>
        <v>4.5</v>
      </c>
      <c r="R63" s="50">
        <f t="shared" si="2"/>
        <v>30</v>
      </c>
      <c r="S63" s="50">
        <f t="shared" si="3"/>
        <v>45</v>
      </c>
      <c r="T63" s="54">
        <f t="shared" si="4"/>
        <v>0.7352941176470589</v>
      </c>
    </row>
    <row r="64" spans="1:11" ht="16.5" customHeight="1">
      <c r="A64" s="18"/>
      <c r="B64" s="33"/>
      <c r="C64" s="33" t="s">
        <v>107</v>
      </c>
      <c r="D64" s="117">
        <f>R42</f>
        <v>10.865882352941176</v>
      </c>
      <c r="E64" s="105">
        <f>IF(AD71=TRUE,D64+D44,D64*0)</f>
        <v>29.130588235294113</v>
      </c>
      <c r="F64" s="118">
        <f>E64*$D$29</f>
        <v>28.206815042647413</v>
      </c>
      <c r="G64" s="119">
        <f>IF(AD71=TRUE,F64,F64*0)</f>
        <v>28.206815042647413</v>
      </c>
      <c r="H64" s="19"/>
      <c r="I64" s="19"/>
      <c r="J64" s="19"/>
      <c r="K64" s="24"/>
    </row>
    <row r="65" spans="1:11" ht="16.5" customHeight="1">
      <c r="A65" s="18"/>
      <c r="B65" s="19"/>
      <c r="C65" s="122"/>
      <c r="D65" s="22"/>
      <c r="E65" s="20"/>
      <c r="F65" s="123"/>
      <c r="G65" s="115"/>
      <c r="H65" s="19"/>
      <c r="I65" s="19"/>
      <c r="J65" s="19"/>
      <c r="K65" s="24"/>
    </row>
    <row r="66" spans="1:11" ht="16.5" customHeight="1">
      <c r="A66" s="18"/>
      <c r="B66" s="183" t="s">
        <v>124</v>
      </c>
      <c r="C66" s="184"/>
      <c r="D66" s="185"/>
      <c r="E66" s="188" t="s">
        <v>63</v>
      </c>
      <c r="F66" s="188"/>
      <c r="G66" s="115"/>
      <c r="H66" s="19"/>
      <c r="I66" s="19"/>
      <c r="J66" s="19"/>
      <c r="K66" s="24"/>
    </row>
    <row r="67" spans="1:11" ht="16.5" customHeight="1">
      <c r="A67" s="18"/>
      <c r="B67" s="181" t="s">
        <v>110</v>
      </c>
      <c r="C67" s="182"/>
      <c r="D67" s="124" t="s">
        <v>65</v>
      </c>
      <c r="E67" s="189" t="s">
        <v>60</v>
      </c>
      <c r="F67" s="190"/>
      <c r="G67" s="28"/>
      <c r="H67" s="19"/>
      <c r="I67" s="19"/>
      <c r="J67" s="19"/>
      <c r="K67" s="24"/>
    </row>
    <row r="68" spans="1:11" ht="16.5" customHeight="1">
      <c r="A68" s="18"/>
      <c r="B68" s="33"/>
      <c r="C68" s="33" t="str">
        <f>IF(J48=D48,"Baja","Alta")</f>
        <v>Baja</v>
      </c>
      <c r="D68" s="125">
        <f>D48*D30</f>
        <v>103.27499999999998</v>
      </c>
      <c r="E68" s="177">
        <f>+F59+$G$63+$G$64</f>
        <v>36.32877582696114</v>
      </c>
      <c r="F68" s="178" t="e">
        <f>$D$26*($D$47/$D$49)+$D$47/($D$50*D68*$D$26)+(($D$47*0.006*$D$51)/(D68*$D$26))+$D$47*($D$52+$D$53)/(100*D68*$D$26)+($D$54/$D$26)+$D$71</f>
        <v>#DIV/0!</v>
      </c>
      <c r="G68" s="28"/>
      <c r="H68" s="19"/>
      <c r="I68" s="19"/>
      <c r="J68" s="19"/>
      <c r="K68" s="24"/>
    </row>
    <row r="69" spans="1:30" ht="16.5" customHeight="1">
      <c r="A69" s="18"/>
      <c r="B69" s="15"/>
      <c r="C69" s="15"/>
      <c r="D69" s="126"/>
      <c r="E69" s="127"/>
      <c r="F69" s="127"/>
      <c r="G69" s="28"/>
      <c r="H69" s="19"/>
      <c r="I69" s="19"/>
      <c r="J69" s="19"/>
      <c r="K69" s="27"/>
      <c r="AD69" s="13" t="b">
        <v>0</v>
      </c>
    </row>
    <row r="70" spans="1:11" ht="16.5" customHeight="1">
      <c r="A70" s="128"/>
      <c r="B70" s="129"/>
      <c r="C70" s="130"/>
      <c r="D70" s="131"/>
      <c r="E70" s="132"/>
      <c r="F70" s="133"/>
      <c r="G70" s="134"/>
      <c r="H70" s="135"/>
      <c r="I70" s="135"/>
      <c r="J70" s="135"/>
      <c r="K70" s="136"/>
    </row>
    <row r="71" spans="2:30" ht="16.5" customHeight="1">
      <c r="B71" s="137"/>
      <c r="C71" s="137"/>
      <c r="D71" s="138"/>
      <c r="E71" s="139"/>
      <c r="F71" s="137"/>
      <c r="G71" s="140"/>
      <c r="H71" s="141"/>
      <c r="I71" s="141"/>
      <c r="K71" s="137"/>
      <c r="AD71" s="13" t="b">
        <v>1</v>
      </c>
    </row>
    <row r="72" spans="3:10" ht="16.5" customHeight="1">
      <c r="C72" s="142"/>
      <c r="D72" s="143"/>
      <c r="F72" s="144"/>
      <c r="G72" s="145"/>
      <c r="H72" s="141"/>
      <c r="I72" s="141"/>
      <c r="J72" s="137"/>
    </row>
    <row r="73" spans="4:10" ht="16.5" customHeight="1">
      <c r="D73" s="143"/>
      <c r="F73" s="144"/>
      <c r="G73" s="145"/>
      <c r="H73" s="146"/>
      <c r="I73" s="146"/>
      <c r="J73" s="137"/>
    </row>
    <row r="74" spans="4:10" ht="16.5" customHeight="1">
      <c r="D74" s="143"/>
      <c r="G74" s="147"/>
      <c r="H74" s="146"/>
      <c r="I74" s="146"/>
      <c r="J74" s="137"/>
    </row>
    <row r="75" spans="4:30" ht="16.5" customHeight="1">
      <c r="D75" s="143"/>
      <c r="H75" s="146"/>
      <c r="I75" s="146"/>
      <c r="J75" s="137"/>
      <c r="AD75" s="13" t="b">
        <v>0</v>
      </c>
    </row>
    <row r="76" spans="3:30" ht="16.5" customHeight="1">
      <c r="C76" s="148"/>
      <c r="D76" s="143"/>
      <c r="E76" s="149"/>
      <c r="F76" s="144"/>
      <c r="G76" s="150"/>
      <c r="J76" s="137"/>
      <c r="AD76" s="13" t="b">
        <v>1</v>
      </c>
    </row>
    <row r="77" spans="4:10" ht="16.5" customHeight="1">
      <c r="D77" s="143"/>
      <c r="E77" s="149"/>
      <c r="F77" s="144"/>
      <c r="G77" s="150"/>
      <c r="J77" s="137"/>
    </row>
    <row r="78" ht="16.5" customHeight="1">
      <c r="J78" s="137"/>
    </row>
    <row r="79" ht="13.5">
      <c r="J79" s="137"/>
    </row>
    <row r="80" ht="13.5">
      <c r="J80" s="137"/>
    </row>
  </sheetData>
  <sheetProtection/>
  <mergeCells count="71">
    <mergeCell ref="M10:N10"/>
    <mergeCell ref="E66:F66"/>
    <mergeCell ref="P50:P51"/>
    <mergeCell ref="E67:F67"/>
    <mergeCell ref="N21:N22"/>
    <mergeCell ref="N23:N24"/>
    <mergeCell ref="I11:J11"/>
    <mergeCell ref="I54:J54"/>
    <mergeCell ref="M26:M31"/>
    <mergeCell ref="I18:J18"/>
    <mergeCell ref="E68:F68"/>
    <mergeCell ref="E61:F61"/>
    <mergeCell ref="B61:D61"/>
    <mergeCell ref="B67:C67"/>
    <mergeCell ref="B62:C62"/>
    <mergeCell ref="B66:D66"/>
    <mergeCell ref="B56:C56"/>
    <mergeCell ref="B57:C57"/>
    <mergeCell ref="B38:C38"/>
    <mergeCell ref="B47:C47"/>
    <mergeCell ref="B52:C52"/>
    <mergeCell ref="B39:C39"/>
    <mergeCell ref="B55:C55"/>
    <mergeCell ref="B54:C54"/>
    <mergeCell ref="B53:C53"/>
    <mergeCell ref="B41:C41"/>
    <mergeCell ref="B48:C48"/>
    <mergeCell ref="B43:C43"/>
    <mergeCell ref="B50:C50"/>
    <mergeCell ref="B16:C16"/>
    <mergeCell ref="B17:C17"/>
    <mergeCell ref="B19:C19"/>
    <mergeCell ref="B35:C35"/>
    <mergeCell ref="N19:N20"/>
    <mergeCell ref="B20:C20"/>
    <mergeCell ref="M19:M24"/>
    <mergeCell ref="I23:J23"/>
    <mergeCell ref="B22:C22"/>
    <mergeCell ref="B21:C21"/>
    <mergeCell ref="B13:C13"/>
    <mergeCell ref="N26:N27"/>
    <mergeCell ref="N28:N29"/>
    <mergeCell ref="M39:M40"/>
    <mergeCell ref="B14:C14"/>
    <mergeCell ref="B36:C36"/>
    <mergeCell ref="B23:C23"/>
    <mergeCell ref="B27:C27"/>
    <mergeCell ref="B28:C28"/>
    <mergeCell ref="B15:C15"/>
    <mergeCell ref="T50:T51"/>
    <mergeCell ref="I39:J39"/>
    <mergeCell ref="S50:S51"/>
    <mergeCell ref="Q50:Q51"/>
    <mergeCell ref="R50:R51"/>
    <mergeCell ref="M50:M51"/>
    <mergeCell ref="N50:N51"/>
    <mergeCell ref="M41:M42"/>
    <mergeCell ref="M36:O36"/>
    <mergeCell ref="Q38:R39"/>
    <mergeCell ref="I62:J62"/>
    <mergeCell ref="O50:O51"/>
    <mergeCell ref="I47:J47"/>
    <mergeCell ref="M37:M38"/>
    <mergeCell ref="I33:J33"/>
    <mergeCell ref="M33:R34"/>
    <mergeCell ref="B33:C33"/>
    <mergeCell ref="B25:C25"/>
    <mergeCell ref="N30:N31"/>
    <mergeCell ref="I28:J28"/>
    <mergeCell ref="B29:C29"/>
    <mergeCell ref="B32:C32"/>
  </mergeCells>
  <conditionalFormatting sqref="J34:J37">
    <cfRule type="cellIs" priority="1" dxfId="0" operator="equal" stopIfTrue="1">
      <formula>$D$36</formula>
    </cfRule>
  </conditionalFormatting>
  <conditionalFormatting sqref="J24:J26">
    <cfRule type="cellIs" priority="2" dxfId="0" operator="equal" stopIfTrue="1">
      <formula>$D$28</formula>
    </cfRule>
  </conditionalFormatting>
  <conditionalFormatting sqref="J29:J31">
    <cfRule type="cellIs" priority="3" dxfId="0" operator="equal" stopIfTrue="1">
      <formula>$D$32</formula>
    </cfRule>
  </conditionalFormatting>
  <conditionalFormatting sqref="J19:J21">
    <cfRule type="cellIs" priority="4" dxfId="0" operator="equal" stopIfTrue="1">
      <formula>$D$14</formula>
    </cfRule>
  </conditionalFormatting>
  <conditionalFormatting sqref="J14:J16">
    <cfRule type="cellIs" priority="5" dxfId="0" operator="equal" stopIfTrue="1">
      <formula>$D$19</formula>
    </cfRule>
  </conditionalFormatting>
  <conditionalFormatting sqref="J41">
    <cfRule type="expression" priority="6" dxfId="0" stopIfTrue="1">
      <formula>$D$32=25</formula>
    </cfRule>
  </conditionalFormatting>
  <conditionalFormatting sqref="J42">
    <cfRule type="expression" priority="7" dxfId="0" stopIfTrue="1">
      <formula>$D$32=50</formula>
    </cfRule>
  </conditionalFormatting>
  <conditionalFormatting sqref="J43">
    <cfRule type="expression" priority="8" dxfId="0" stopIfTrue="1">
      <formula>$D$32=75</formula>
    </cfRule>
  </conditionalFormatting>
  <conditionalFormatting sqref="C63">
    <cfRule type="expression" priority="9" dxfId="0" stopIfTrue="1">
      <formula>$G$63&gt;0</formula>
    </cfRule>
  </conditionalFormatting>
  <conditionalFormatting sqref="C64">
    <cfRule type="expression" priority="10" dxfId="0" stopIfTrue="1">
      <formula>$G$64&gt;0</formula>
    </cfRule>
  </conditionalFormatting>
  <conditionalFormatting sqref="C68">
    <cfRule type="expression" priority="11" dxfId="0" stopIfTrue="1">
      <formula>$E$68&gt;0</formula>
    </cfRule>
  </conditionalFormatting>
  <conditionalFormatting sqref="J48:J49">
    <cfRule type="cellIs" priority="12" dxfId="0" operator="equal" stopIfTrue="1">
      <formula>$D$48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4" r:id="rId2"/>
  <ignoredErrors>
    <ignoredError sqref="O21:O23 O28:O30 O27" formula="1"/>
    <ignoredError sqref="D1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W55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80.140625" style="3" customWidth="1"/>
  </cols>
  <sheetData>
    <row r="1" s="1" customFormat="1" ht="86.25" customHeight="1">
      <c r="A1" s="4"/>
    </row>
    <row r="2" spans="1:23" ht="18.75" customHeight="1">
      <c r="A2" s="5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6" t="s">
        <v>125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6" t="s">
        <v>132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6" t="s">
        <v>133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8.5" customHeight="1">
      <c r="A7" s="6" t="s">
        <v>134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6" t="s">
        <v>135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8.5" customHeight="1">
      <c r="A9" s="6" t="s">
        <v>136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8.5" customHeight="1">
      <c r="A10" s="6" t="s">
        <v>137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8.5" customHeight="1">
      <c r="A11" s="6" t="s">
        <v>138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8.5" customHeight="1">
      <c r="A12" s="6" t="s">
        <v>139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42.75" customHeight="1">
      <c r="A13" s="6" t="s">
        <v>140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8.5" customHeight="1">
      <c r="A14" s="6" t="s">
        <v>141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8.5" customHeight="1">
      <c r="A15" s="6" t="s">
        <v>142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42.75" customHeight="1">
      <c r="A17" s="6" t="s">
        <v>126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6" t="s">
        <v>127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7" t="s">
        <v>150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8.5" customHeight="1">
      <c r="A21" s="6" t="s">
        <v>143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7" t="s">
        <v>151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6" t="s">
        <v>144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6" t="s">
        <v>145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7" t="s">
        <v>152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6" t="s">
        <v>146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6" t="s">
        <v>147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6" t="s">
        <v>148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8.5" customHeight="1">
      <c r="A29" s="6" t="s">
        <v>149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8.5" customHeight="1">
      <c r="A30" s="6" t="s">
        <v>128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</sheetData>
  <sheetProtection/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Martín</dc:creator>
  <cp:keywords/>
  <dc:description/>
  <cp:lastModifiedBy>LM</cp:lastModifiedBy>
  <cp:lastPrinted>2008-09-11T08:07:36Z</cp:lastPrinted>
  <dcterms:created xsi:type="dcterms:W3CDTF">2006-04-04T09:19:27Z</dcterms:created>
  <dcterms:modified xsi:type="dcterms:W3CDTF">2014-06-27T07:47:38Z</dcterms:modified>
  <cp:category/>
  <cp:version/>
  <cp:contentType/>
  <cp:contentStatus/>
</cp:coreProperties>
</file>