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888" windowHeight="8976" tabRatio="852" activeTab="0"/>
  </bookViews>
  <sheets>
    <sheet name="Grada acc." sheetId="1" r:id="rId1"/>
    <sheet name="Metodología" sheetId="2" r:id="rId2"/>
  </sheets>
  <definedNames>
    <definedName name="_xlnm.Print_Area" localSheetId="0">'Grada acc.'!$A$1:$K$68</definedName>
    <definedName name="_xlnm.Print_Area" localSheetId="1">'Metodología'!$A$1:$A$29</definedName>
    <definedName name="Z_039E3839_049A_4F05_9EAF_8C8ED138CC23_.wvu.Cols" localSheetId="0" hidden="1">'Grada acc.'!$AD:$AD</definedName>
    <definedName name="Z_039E3839_049A_4F05_9EAF_8C8ED138CC23_.wvu.PrintArea" localSheetId="0" hidden="1">'Grada acc.'!$A$10:$T$66</definedName>
  </definedNames>
  <calcPr fullCalcOnLoad="1"/>
</workbook>
</file>

<file path=xl/sharedStrings.xml><?xml version="1.0" encoding="utf-8"?>
<sst xmlns="http://schemas.openxmlformats.org/spreadsheetml/2006/main" count="197" uniqueCount="150">
  <si>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</si>
  <si>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</si>
  <si>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</si>
  <si>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</si>
  <si>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</si>
  <si>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</si>
  <si>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</si>
  <si>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</si>
  <si>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</si>
  <si>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</si>
  <si>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</si>
  <si>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</si>
  <si>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</si>
  <si>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</si>
  <si>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</si>
  <si>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</si>
  <si>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</si>
  <si>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</si>
  <si>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</si>
  <si>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</si>
  <si>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</si>
  <si>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</si>
  <si>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</si>
  <si>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cm</t>
  </si>
  <si>
    <t>Profundidad de trabajo (cm)</t>
  </si>
  <si>
    <t>Anchura apero</t>
  </si>
  <si>
    <t>m</t>
  </si>
  <si>
    <t>Peso apero</t>
  </si>
  <si>
    <t>kg</t>
  </si>
  <si>
    <t>Resistencia suelo</t>
  </si>
  <si>
    <t>Resist.específica (kPa)</t>
  </si>
  <si>
    <t>kPa</t>
  </si>
  <si>
    <t>Velocidad de trabajo</t>
  </si>
  <si>
    <t>km/h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</si>
  <si>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</si>
  <si>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</si>
  <si>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</si>
  <si>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</si>
  <si>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</si>
  <si>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</si>
  <si>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</si>
  <si>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</si>
  <si>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</si>
  <si>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</si>
  <si>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</si>
  <si>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</si>
  <si>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</si>
  <si>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</si>
  <si>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</si>
  <si>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</si>
  <si>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</si>
  <si>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</si>
  <si>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</si>
  <si>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</si>
  <si>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</si>
  <si>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</si>
  <si>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</si>
  <si>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</si>
  <si>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</si>
  <si>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</si>
  <si>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</si>
  <si>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</si>
  <si>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</si>
  <si>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RESULTADOS MAPA para 10 cm de profundidad media: De 12 L/ha a 20 L/ha según textura y prof trabajo</t>
  </si>
  <si>
    <t>Grada accionada</t>
  </si>
  <si>
    <t>Anchura apero (m)</t>
  </si>
  <si>
    <t>Nivel de carga del tractor</t>
  </si>
  <si>
    <t>Pequeño</t>
  </si>
  <si>
    <t>pot tractor CV</t>
  </si>
  <si>
    <t>nivel carga %</t>
  </si>
  <si>
    <t>pot utilizada</t>
  </si>
  <si>
    <t>Prf trabajo (cm)</t>
  </si>
  <si>
    <t>5 m</t>
  </si>
  <si>
    <t>anchura</t>
  </si>
  <si>
    <t>Potencia necesaria</t>
  </si>
  <si>
    <t>ASAE spike tooth harrow</t>
  </si>
  <si>
    <t>2,5 m</t>
  </si>
  <si>
    <t>3,5 m</t>
  </si>
  <si>
    <t>Bajo</t>
  </si>
  <si>
    <t>Alto</t>
  </si>
  <si>
    <t>COSTES DE UTILIZACIÓN</t>
  </si>
  <si>
    <t>COSTES DE POSESIÓN</t>
  </si>
  <si>
    <t>Capacidad trabajo teórica</t>
  </si>
  <si>
    <t>Capacidad trabajo real</t>
  </si>
  <si>
    <t>Coste gasóleo</t>
  </si>
  <si>
    <t>Coste combustible</t>
  </si>
  <si>
    <t>L/ha</t>
  </si>
  <si>
    <t>Pase de grada accionada</t>
  </si>
  <si>
    <t>F(daN)</t>
  </si>
  <si>
    <t>P(kW)</t>
  </si>
  <si>
    <t>anchura max (m)</t>
  </si>
  <si>
    <t>R suelo  kPa</t>
  </si>
  <si>
    <t>Factor (L/h-kW)</t>
  </si>
  <si>
    <t>R suelo (kPa)</t>
  </si>
  <si>
    <t>v (km/h)</t>
  </si>
  <si>
    <t>Prof (cm)</t>
  </si>
  <si>
    <t>Pot (kW/m)</t>
  </si>
  <si>
    <t>kW/m</t>
  </si>
  <si>
    <t xml:space="preserve"> </t>
  </si>
  <si>
    <t>Potencia a la tdf</t>
  </si>
  <si>
    <t>Pot a la tdf (kW/m)</t>
  </si>
  <si>
    <t>Potencia a la tdf =Mitad de la potencia necesaria para vertedera a igual profundidad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</si>
  <si>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</si>
  <si>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</si>
  <si>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</si>
  <si>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</si>
  <si>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</si>
  <si>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</si>
  <si>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</si>
  <si>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</si>
  <si>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</si>
  <si>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</si>
  <si>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kg/m</t>
  </si>
  <si>
    <t>€/m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</si>
  <si>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</si>
  <si>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</si>
  <si>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</si>
  <si>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</si>
  <si>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</si>
  <si>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</si>
  <si>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</si>
  <si>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</si>
  <si>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</si>
  <si>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</si>
  <si>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</si>
  <si>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</si>
  <si>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</si>
  <si>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</si>
  <si>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</si>
  <si>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 xml:space="preserve">-          Profundidad de trabajo: Alta (15 cm) y baja (10 cm)      </t>
  </si>
  <si>
    <t>-          Anchura apero: Alta (7 m), media (5 m) o baja (3 m)</t>
  </si>
  <si>
    <t>-          Peso del apero: Estimado en 250 kg/m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</si>
  <si>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</si>
  <si>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</si>
  <si>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del tractor: Bajo, medio o alto (se recomienda coger medio para esta operación)</t>
  </si>
  <si>
    <t>-          Velocidad de trabajo: Es un valor tomado de las velocidades recomendadas de trabajo.</t>
  </si>
  <si>
    <t>-          Potencia consumida a la toma de fuerza: Se ha estimado como la mitad de la potencia consumida por un arado de vertedera trabajando a igual profundidad y con la misma resistencia característica de suelo.</t>
  </si>
  <si>
    <t>-          Coeficiente de esfuerzo de tracción: En este caso no se considera puesto que al girar el rotor en el sentido de avance del tractor, favorece al movimiento del mismo, dándose deslizamiento cero o incluso negativo.</t>
  </si>
  <si>
    <t>-          Potencia a la barra incluida rodadura: Es la potencia necesaria a la barra consideradas unas pérdidas por rodadura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</si>
  <si>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</si>
  <si>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</si>
  <si>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3.000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</si>
  <si>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</si>
  <si>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</si>
  <si>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</si>
  <si>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</si>
  <si>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Coste de combustible: 1,00 €/L</t>
  </si>
  <si>
    <t>-          Precio de adquisición: Estimado en 2.250 €/m de anchura de trabajo</t>
  </si>
  <si>
    <t>-          Mantenimiento y reparaciones: 4,00 €/ha</t>
  </si>
  <si>
    <t>-          Interés: 5 %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</si>
</sst>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22"/>
      <name val="Arial"/>
      <family val="0"/>
    </font>
    <font>
      <sz val="11"/>
      <color indexed="12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b/>
      <sz val="11"/>
      <color indexed="42"/>
      <name val="Arial"/>
      <family val="0"/>
    </font>
    <font>
      <sz val="11"/>
      <color indexed="42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color indexed="9"/>
      <name val="Arial"/>
      <family val="0"/>
    </font>
    <font>
      <b/>
      <u val="single"/>
      <sz val="11"/>
      <color indexed="9"/>
      <name val="Arial"/>
      <family val="0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1" fontId="4" fillId="34" borderId="0" xfId="0" applyNumberFormat="1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2" fontId="9" fillId="34" borderId="0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4" fillId="34" borderId="16" xfId="0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5" borderId="17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4" fillId="35" borderId="18" xfId="0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>
      <alignment horizontal="center"/>
    </xf>
    <xf numFmtId="165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164" fontId="9" fillId="34" borderId="0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164" fontId="9" fillId="34" borderId="16" xfId="0" applyNumberFormat="1" applyFont="1" applyFill="1" applyBorder="1" applyAlignment="1" applyProtection="1">
      <alignment horizontal="center"/>
      <protection hidden="1"/>
    </xf>
    <xf numFmtId="0" fontId="8" fillId="34" borderId="22" xfId="0" applyFont="1" applyFill="1" applyBorder="1" applyAlignment="1">
      <alignment horizontal="center"/>
    </xf>
    <xf numFmtId="165" fontId="9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165" fontId="4" fillId="34" borderId="15" xfId="0" applyNumberFormat="1" applyFont="1" applyFill="1" applyBorder="1" applyAlignment="1" applyProtection="1">
      <alignment horizontal="center"/>
      <protection/>
    </xf>
    <xf numFmtId="165" fontId="4" fillId="33" borderId="14" xfId="0" applyNumberFormat="1" applyFont="1" applyFill="1" applyBorder="1" applyAlignment="1" applyProtection="1">
      <alignment horizontal="center"/>
      <protection/>
    </xf>
    <xf numFmtId="3" fontId="7" fillId="34" borderId="0" xfId="0" applyNumberFormat="1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7" fillId="34" borderId="15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2" fontId="4" fillId="34" borderId="23" xfId="0" applyNumberFormat="1" applyFont="1" applyFill="1" applyBorder="1" applyAlignment="1" applyProtection="1">
      <alignment horizontal="center"/>
      <protection hidden="1"/>
    </xf>
    <xf numFmtId="0" fontId="5" fillId="34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3" fontId="5" fillId="34" borderId="15" xfId="0" applyNumberFormat="1" applyFont="1" applyFill="1" applyBorder="1" applyAlignment="1" applyProtection="1">
      <alignment horizontal="center"/>
      <protection hidden="1"/>
    </xf>
    <xf numFmtId="3" fontId="5" fillId="33" borderId="14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8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2" fontId="8" fillId="34" borderId="16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2" fontId="5" fillId="34" borderId="15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 hidden="1"/>
    </xf>
    <xf numFmtId="2" fontId="5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4" borderId="0" xfId="0" applyFill="1" applyAlignment="1">
      <alignment/>
    </xf>
    <xf numFmtId="2" fontId="7" fillId="34" borderId="23" xfId="0" applyNumberFormat="1" applyFont="1" applyFill="1" applyBorder="1" applyAlignment="1" applyProtection="1">
      <alignment horizontal="center"/>
      <protection hidden="1" locked="0"/>
    </xf>
    <xf numFmtId="3" fontId="7" fillId="34" borderId="0" xfId="0" applyNumberFormat="1" applyFont="1" applyFill="1" applyBorder="1" applyAlignment="1" applyProtection="1">
      <alignment horizontal="center"/>
      <protection hidden="1" locked="0"/>
    </xf>
    <xf numFmtId="0" fontId="7" fillId="34" borderId="0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49" fontId="13" fillId="33" borderId="0" xfId="0" applyNumberFormat="1" applyFont="1" applyFill="1" applyAlignment="1">
      <alignment horizontal="justify" wrapText="1"/>
    </xf>
    <xf numFmtId="49" fontId="14" fillId="33" borderId="0" xfId="0" applyNumberFormat="1" applyFont="1" applyFill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/>
      <protection hidden="1"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 applyProtection="1">
      <alignment/>
      <protection hidden="1"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 hidden="1" locked="0"/>
    </xf>
    <xf numFmtId="0" fontId="15" fillId="0" borderId="0" xfId="0" applyFont="1" applyFill="1" applyBorder="1" applyAlignment="1" applyProtection="1">
      <alignment/>
      <protection hidden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17" fillId="0" borderId="15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2" fontId="10" fillId="36" borderId="17" xfId="0" applyNumberFormat="1" applyFont="1" applyFill="1" applyBorder="1" applyAlignment="1" applyProtection="1">
      <alignment horizontal="center" vertical="center"/>
      <protection hidden="1"/>
    </xf>
    <xf numFmtId="2" fontId="10" fillId="36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>
      <alignment horizontal="left"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36" borderId="17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center"/>
      <protection hidden="1"/>
    </xf>
    <xf numFmtId="0" fontId="5" fillId="34" borderId="19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7.emf" /><Relationship Id="rId5" Type="http://schemas.openxmlformats.org/officeDocument/2006/relationships/image" Target="../media/image13.emf" /><Relationship Id="rId6" Type="http://schemas.openxmlformats.org/officeDocument/2006/relationships/image" Target="../media/image19.emf" /><Relationship Id="rId7" Type="http://schemas.openxmlformats.org/officeDocument/2006/relationships/image" Target="../media/image2.emf" /><Relationship Id="rId8" Type="http://schemas.openxmlformats.org/officeDocument/2006/relationships/image" Target="../media/image20.emf" /><Relationship Id="rId9" Type="http://schemas.openxmlformats.org/officeDocument/2006/relationships/image" Target="../media/image12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21.emf" /><Relationship Id="rId13" Type="http://schemas.openxmlformats.org/officeDocument/2006/relationships/image" Target="../media/image16.emf" /><Relationship Id="rId14" Type="http://schemas.openxmlformats.org/officeDocument/2006/relationships/image" Target="../media/image23.emf" /><Relationship Id="rId15" Type="http://schemas.openxmlformats.org/officeDocument/2006/relationships/image" Target="../media/image10.emf" /><Relationship Id="rId16" Type="http://schemas.openxmlformats.org/officeDocument/2006/relationships/image" Target="../media/image8.emf" /><Relationship Id="rId17" Type="http://schemas.openxmlformats.org/officeDocument/2006/relationships/image" Target="../media/image22.emf" /><Relationship Id="rId18" Type="http://schemas.openxmlformats.org/officeDocument/2006/relationships/image" Target="../media/image14.emf" /><Relationship Id="rId19" Type="http://schemas.openxmlformats.org/officeDocument/2006/relationships/image" Target="../media/image18.emf" /><Relationship Id="rId20" Type="http://schemas.openxmlformats.org/officeDocument/2006/relationships/image" Target="../media/image1.emf" /><Relationship Id="rId21" Type="http://schemas.openxmlformats.org/officeDocument/2006/relationships/image" Target="../media/image15.emf" /><Relationship Id="rId22" Type="http://schemas.openxmlformats.org/officeDocument/2006/relationships/image" Target="../media/image5.emf" /><Relationship Id="rId2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9</xdr:row>
      <xdr:rowOff>28575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0</xdr:rowOff>
    </xdr:from>
    <xdr:to>
      <xdr:col>7</xdr:col>
      <xdr:colOff>228600</xdr:colOff>
      <xdr:row>14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095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9525</xdr:rowOff>
    </xdr:from>
    <xdr:to>
      <xdr:col>7</xdr:col>
      <xdr:colOff>219075</xdr:colOff>
      <xdr:row>15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2314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16</xdr:row>
      <xdr:rowOff>19050</xdr:rowOff>
    </xdr:from>
    <xdr:to>
      <xdr:col>7</xdr:col>
      <xdr:colOff>219075</xdr:colOff>
      <xdr:row>16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25336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38100</xdr:rowOff>
    </xdr:from>
    <xdr:to>
      <xdr:col>7</xdr:col>
      <xdr:colOff>228600</xdr:colOff>
      <xdr:row>20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24350" y="31813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20</xdr:row>
      <xdr:rowOff>47625</xdr:rowOff>
    </xdr:from>
    <xdr:to>
      <xdr:col>7</xdr:col>
      <xdr:colOff>219075</xdr:colOff>
      <xdr:row>21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34004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28</xdr:row>
      <xdr:rowOff>28575</xdr:rowOff>
    </xdr:from>
    <xdr:to>
      <xdr:col>7</xdr:col>
      <xdr:colOff>228600</xdr:colOff>
      <xdr:row>29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24350" y="50577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38100</xdr:rowOff>
    </xdr:from>
    <xdr:to>
      <xdr:col>7</xdr:col>
      <xdr:colOff>228600</xdr:colOff>
      <xdr:row>30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4350" y="52768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28575</xdr:rowOff>
    </xdr:from>
    <xdr:to>
      <xdr:col>7</xdr:col>
      <xdr:colOff>228600</xdr:colOff>
      <xdr:row>31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547687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33</xdr:row>
      <xdr:rowOff>19050</xdr:rowOff>
    </xdr:from>
    <xdr:to>
      <xdr:col>7</xdr:col>
      <xdr:colOff>238125</xdr:colOff>
      <xdr:row>34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33875" y="6096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34</xdr:row>
      <xdr:rowOff>28575</xdr:rowOff>
    </xdr:from>
    <xdr:to>
      <xdr:col>7</xdr:col>
      <xdr:colOff>238125</xdr:colOff>
      <xdr:row>35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33875" y="6315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35</xdr:row>
      <xdr:rowOff>28575</xdr:rowOff>
    </xdr:from>
    <xdr:to>
      <xdr:col>7</xdr:col>
      <xdr:colOff>238125</xdr:colOff>
      <xdr:row>36</xdr:row>
      <xdr:rowOff>9525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6524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28575</xdr:rowOff>
    </xdr:from>
    <xdr:to>
      <xdr:col>7</xdr:col>
      <xdr:colOff>238125</xdr:colOff>
      <xdr:row>24</xdr:row>
      <xdr:rowOff>9525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24350" y="40100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25</xdr:row>
      <xdr:rowOff>47625</xdr:rowOff>
    </xdr:from>
    <xdr:to>
      <xdr:col>7</xdr:col>
      <xdr:colOff>219075</xdr:colOff>
      <xdr:row>26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24350" y="44481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24</xdr:row>
      <xdr:rowOff>28575</xdr:rowOff>
    </xdr:from>
    <xdr:to>
      <xdr:col>7</xdr:col>
      <xdr:colOff>219075</xdr:colOff>
      <xdr:row>25</xdr:row>
      <xdr:rowOff>9525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24350" y="42195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38</xdr:row>
      <xdr:rowOff>28575</xdr:rowOff>
    </xdr:from>
    <xdr:to>
      <xdr:col>7</xdr:col>
      <xdr:colOff>238125</xdr:colOff>
      <xdr:row>39</xdr:row>
      <xdr:rowOff>9525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33875" y="71532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39</xdr:row>
      <xdr:rowOff>28575</xdr:rowOff>
    </xdr:from>
    <xdr:to>
      <xdr:col>7</xdr:col>
      <xdr:colOff>238125</xdr:colOff>
      <xdr:row>40</xdr:row>
      <xdr:rowOff>9525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7362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28575</xdr:rowOff>
    </xdr:from>
    <xdr:to>
      <xdr:col>7</xdr:col>
      <xdr:colOff>238125</xdr:colOff>
      <xdr:row>41</xdr:row>
      <xdr:rowOff>9525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33875" y="7572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28575</xdr:rowOff>
    </xdr:from>
    <xdr:to>
      <xdr:col>7</xdr:col>
      <xdr:colOff>238125</xdr:colOff>
      <xdr:row>42</xdr:row>
      <xdr:rowOff>9525</xdr:rowOff>
    </xdr:to>
    <xdr:pic>
      <xdr:nvPicPr>
        <xdr:cNvPr id="19" name="OptionButton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33875" y="7781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19050</xdr:rowOff>
    </xdr:from>
    <xdr:to>
      <xdr:col>1</xdr:col>
      <xdr:colOff>257175</xdr:colOff>
      <xdr:row>61</xdr:row>
      <xdr:rowOff>0</xdr:rowOff>
    </xdr:to>
    <xdr:pic>
      <xdr:nvPicPr>
        <xdr:cNvPr id="20" name="OptionButton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1753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28575</xdr:rowOff>
    </xdr:from>
    <xdr:to>
      <xdr:col>1</xdr:col>
      <xdr:colOff>257175</xdr:colOff>
      <xdr:row>62</xdr:row>
      <xdr:rowOff>9525</xdr:rowOff>
    </xdr:to>
    <xdr:pic>
      <xdr:nvPicPr>
        <xdr:cNvPr id="21" name="OptionButton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19729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50</xdr:row>
      <xdr:rowOff>9525</xdr:rowOff>
    </xdr:from>
    <xdr:to>
      <xdr:col>7</xdr:col>
      <xdr:colOff>238125</xdr:colOff>
      <xdr:row>51</xdr:row>
      <xdr:rowOff>0</xdr:rowOff>
    </xdr:to>
    <xdr:pic>
      <xdr:nvPicPr>
        <xdr:cNvPr id="22" name="OptionButton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96488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51</xdr:row>
      <xdr:rowOff>28575</xdr:rowOff>
    </xdr:from>
    <xdr:to>
      <xdr:col>7</xdr:col>
      <xdr:colOff>238125</xdr:colOff>
      <xdr:row>52</xdr:row>
      <xdr:rowOff>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33875" y="9877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1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0:AG90"/>
  <sheetViews>
    <sheetView showZeros="0" tabSelected="1" zoomScalePageLayoutView="0" workbookViewId="0" topLeftCell="A1">
      <selection activeCell="A10" sqref="A10"/>
    </sheetView>
  </sheetViews>
  <sheetFormatPr defaultColWidth="11.421875" defaultRowHeight="12.75"/>
  <cols>
    <col min="1" max="1" width="2.8515625" style="116" customWidth="1"/>
    <col min="2" max="2" width="5.421875" style="116" customWidth="1"/>
    <col min="3" max="3" width="23.140625" style="116" customWidth="1"/>
    <col min="4" max="4" width="12.00390625" style="117" customWidth="1"/>
    <col min="5" max="5" width="6.57421875" style="117" customWidth="1"/>
    <col min="6" max="6" width="7.00390625" style="116" customWidth="1"/>
    <col min="7" max="7" width="6.57421875" style="118" customWidth="1"/>
    <col min="8" max="8" width="4.140625" style="116" customWidth="1"/>
    <col min="9" max="9" width="10.7109375" style="116" customWidth="1"/>
    <col min="10" max="10" width="21.8515625" style="116" customWidth="1"/>
    <col min="11" max="12" width="5.7109375" style="116" customWidth="1"/>
    <col min="13" max="13" width="15.7109375" style="116" hidden="1" customWidth="1"/>
    <col min="14" max="14" width="8.57421875" style="116" hidden="1" customWidth="1"/>
    <col min="15" max="15" width="8.140625" style="116" hidden="1" customWidth="1"/>
    <col min="16" max="16" width="10.421875" style="116" hidden="1" customWidth="1"/>
    <col min="17" max="17" width="7.140625" style="116" hidden="1" customWidth="1"/>
    <col min="18" max="18" width="10.421875" style="116" customWidth="1"/>
    <col min="19" max="19" width="9.57421875" style="116" customWidth="1"/>
    <col min="20" max="20" width="11.421875" style="116" customWidth="1"/>
    <col min="21" max="22" width="6.57421875" style="116" customWidth="1"/>
    <col min="23" max="23" width="9.28125" style="116" customWidth="1"/>
    <col min="24" max="26" width="7.140625" style="116" customWidth="1"/>
    <col min="27" max="29" width="6.57421875" style="116" customWidth="1"/>
    <col min="30" max="30" width="12.7109375" style="119" hidden="1" customWidth="1"/>
    <col min="31" max="31" width="6.57421875" style="116" customWidth="1"/>
    <col min="32" max="16384" width="11.421875" style="116" customWidth="1"/>
  </cols>
  <sheetData>
    <row r="1" ht="10.5" customHeight="1"/>
    <row r="2" ht="10.5" customHeight="1"/>
    <row r="3" ht="9" customHeight="1"/>
    <row r="4" ht="14.25"/>
    <row r="5" ht="9.75" customHeight="1"/>
    <row r="6" ht="12" customHeight="1"/>
    <row r="7" ht="10.5" customHeight="1"/>
    <row r="8" ht="9" customHeight="1"/>
    <row r="9" ht="6.75" customHeight="1"/>
    <row r="10" spans="1:11" ht="14.25">
      <c r="A10" s="1"/>
      <c r="B10" s="2"/>
      <c r="C10" s="2"/>
      <c r="D10" s="3"/>
      <c r="E10" s="3"/>
      <c r="F10" s="2"/>
      <c r="G10" s="2"/>
      <c r="H10" s="2"/>
      <c r="I10" s="2"/>
      <c r="J10" s="2"/>
      <c r="K10" s="4"/>
    </row>
    <row r="11" spans="1:30" ht="12.75" customHeight="1">
      <c r="A11" s="5"/>
      <c r="B11" s="6"/>
      <c r="C11" s="7" t="s">
        <v>13</v>
      </c>
      <c r="D11" s="8" t="s">
        <v>87</v>
      </c>
      <c r="E11" s="9"/>
      <c r="F11" s="10"/>
      <c r="G11" s="10"/>
      <c r="H11" s="6"/>
      <c r="I11" s="6"/>
      <c r="J11" s="6"/>
      <c r="K11" s="11"/>
      <c r="L11" s="120"/>
      <c r="M11" s="175" t="s">
        <v>111</v>
      </c>
      <c r="N11" s="176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D11" s="122"/>
    </row>
    <row r="12" spans="1:30" ht="12.75" customHeight="1">
      <c r="A12" s="5"/>
      <c r="B12" s="6"/>
      <c r="C12" s="7" t="s">
        <v>14</v>
      </c>
      <c r="D12" s="8" t="s">
        <v>64</v>
      </c>
      <c r="E12" s="9"/>
      <c r="F12" s="8"/>
      <c r="G12" s="8"/>
      <c r="H12" s="12"/>
      <c r="I12" s="12"/>
      <c r="J12" s="12"/>
      <c r="K12" s="13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D12" s="122" t="b">
        <v>0</v>
      </c>
    </row>
    <row r="13" spans="1:30" ht="16.5" customHeight="1">
      <c r="A13" s="5"/>
      <c r="B13" s="6"/>
      <c r="C13" s="6"/>
      <c r="D13" s="9"/>
      <c r="E13" s="9"/>
      <c r="F13" s="6"/>
      <c r="G13" s="6"/>
      <c r="H13" s="14"/>
      <c r="I13" s="12"/>
      <c r="J13" s="12"/>
      <c r="K13" s="13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D13" s="122" t="b">
        <v>1</v>
      </c>
    </row>
    <row r="14" spans="1:33" ht="16.5" customHeight="1">
      <c r="A14" s="5"/>
      <c r="B14" s="159" t="s">
        <v>22</v>
      </c>
      <c r="C14" s="160"/>
      <c r="D14" s="15">
        <f>IF(AD17=TRUE,J20,IF(AD18=TRUE,J21))</f>
        <v>15</v>
      </c>
      <c r="E14" s="16" t="s">
        <v>23</v>
      </c>
      <c r="F14" s="17"/>
      <c r="G14" s="18"/>
      <c r="H14" s="14"/>
      <c r="I14" s="98" t="s">
        <v>15</v>
      </c>
      <c r="J14" s="20" t="s">
        <v>30</v>
      </c>
      <c r="K14" s="21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D14" s="119" t="b">
        <v>0</v>
      </c>
      <c r="AG14" s="123"/>
    </row>
    <row r="15" spans="1:28" ht="16.5" customHeight="1">
      <c r="A15" s="5"/>
      <c r="B15" s="155" t="s">
        <v>25</v>
      </c>
      <c r="C15" s="156"/>
      <c r="D15" s="22">
        <f>IF(AD21=TRUE,J24,IF(AD22=TRUE,J25,IF(AD23=TRUE,J26)))</f>
        <v>3</v>
      </c>
      <c r="E15" s="23" t="s">
        <v>26</v>
      </c>
      <c r="F15" s="24"/>
      <c r="G15" s="25"/>
      <c r="H15" s="99"/>
      <c r="I15" s="19" t="s">
        <v>16</v>
      </c>
      <c r="J15" s="20">
        <v>40</v>
      </c>
      <c r="K15" s="21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6.5" customHeight="1">
      <c r="A16" s="5"/>
      <c r="B16" s="155" t="s">
        <v>27</v>
      </c>
      <c r="C16" s="156"/>
      <c r="D16" s="26">
        <f>F16*D15</f>
        <v>750</v>
      </c>
      <c r="E16" s="23" t="s">
        <v>28</v>
      </c>
      <c r="F16" s="27">
        <v>250</v>
      </c>
      <c r="G16" s="28" t="s">
        <v>112</v>
      </c>
      <c r="H16" s="99"/>
      <c r="I16" s="19" t="s">
        <v>17</v>
      </c>
      <c r="J16" s="20">
        <v>60</v>
      </c>
      <c r="K16" s="21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30" ht="16.5" customHeight="1">
      <c r="A17" s="5"/>
      <c r="B17" s="29"/>
      <c r="C17" s="30"/>
      <c r="D17" s="22"/>
      <c r="E17" s="31"/>
      <c r="F17" s="24"/>
      <c r="G17" s="25"/>
      <c r="H17" s="99"/>
      <c r="I17" s="19" t="s">
        <v>18</v>
      </c>
      <c r="J17" s="20">
        <v>80</v>
      </c>
      <c r="K17" s="21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D17" s="119" t="b">
        <v>0</v>
      </c>
    </row>
    <row r="18" spans="1:33" ht="16.5" customHeight="1">
      <c r="A18" s="5"/>
      <c r="B18" s="155" t="s">
        <v>29</v>
      </c>
      <c r="C18" s="156"/>
      <c r="D18" s="22">
        <f>IF(AD12=TRUE,J15,IF(AD13=TRUE,J16,IF(AD14=TRUE,J17)))</f>
        <v>60</v>
      </c>
      <c r="E18" s="23" t="s">
        <v>31</v>
      </c>
      <c r="F18" s="32"/>
      <c r="G18" s="25"/>
      <c r="H18" s="33"/>
      <c r="I18" s="6"/>
      <c r="J18" s="6"/>
      <c r="K18" s="11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D18" s="119" t="b">
        <v>1</v>
      </c>
      <c r="AG18" s="123"/>
    </row>
    <row r="19" spans="1:28" ht="16.5" customHeight="1">
      <c r="A19" s="5"/>
      <c r="B19" s="155" t="s">
        <v>32</v>
      </c>
      <c r="C19" s="156"/>
      <c r="D19" s="22">
        <v>5</v>
      </c>
      <c r="E19" s="23" t="s">
        <v>33</v>
      </c>
      <c r="F19" s="24"/>
      <c r="G19" s="25"/>
      <c r="H19" s="33"/>
      <c r="I19" s="149" t="s">
        <v>24</v>
      </c>
      <c r="J19" s="150"/>
      <c r="K19" s="21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6.5" customHeight="1">
      <c r="A20" s="5"/>
      <c r="B20" s="155" t="s">
        <v>99</v>
      </c>
      <c r="C20" s="156"/>
      <c r="D20" s="34">
        <f>IF(D18-D14=30,P24,IF(D18-D14=50,P25,IF(D18-D14=70,P26,IF(D18-D14=25,P27,IF(D18-D14=45,P28,P29)))))</f>
        <v>6.25</v>
      </c>
      <c r="E20" s="23" t="s">
        <v>97</v>
      </c>
      <c r="F20" s="24"/>
      <c r="G20" s="25"/>
      <c r="H20" s="100"/>
      <c r="I20" s="19" t="s">
        <v>19</v>
      </c>
      <c r="J20" s="20">
        <v>10</v>
      </c>
      <c r="K20" s="21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30" ht="16.5" customHeight="1">
      <c r="A21" s="5"/>
      <c r="B21" s="155" t="s">
        <v>74</v>
      </c>
      <c r="C21" s="156"/>
      <c r="D21" s="35">
        <f>D20*D15</f>
        <v>18.75</v>
      </c>
      <c r="E21" s="23" t="s">
        <v>1</v>
      </c>
      <c r="F21" s="24"/>
      <c r="G21" s="25"/>
      <c r="H21" s="100"/>
      <c r="I21" s="19" t="s">
        <v>21</v>
      </c>
      <c r="J21" s="20">
        <v>15</v>
      </c>
      <c r="K21" s="21"/>
      <c r="L21" s="120"/>
      <c r="M21" s="153" t="s">
        <v>101</v>
      </c>
      <c r="N21" s="153"/>
      <c r="O21" s="153"/>
      <c r="P21" s="153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D21" s="119" t="b">
        <v>1</v>
      </c>
    </row>
    <row r="22" spans="1:30" ht="16.5" customHeight="1">
      <c r="A22" s="5"/>
      <c r="B22" s="29"/>
      <c r="C22" s="30"/>
      <c r="D22" s="35">
        <f>D21*1.36</f>
        <v>25.500000000000004</v>
      </c>
      <c r="E22" s="23" t="s">
        <v>4</v>
      </c>
      <c r="F22" s="24"/>
      <c r="G22" s="25"/>
      <c r="H22" s="33"/>
      <c r="I22" s="6"/>
      <c r="J22" s="9"/>
      <c r="K22" s="21"/>
      <c r="L22" s="124"/>
      <c r="M22" s="153"/>
      <c r="N22" s="153"/>
      <c r="O22" s="153"/>
      <c r="P22" s="153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D22" s="119" t="b">
        <v>0</v>
      </c>
    </row>
    <row r="23" spans="1:30" ht="16.5" customHeight="1">
      <c r="A23" s="5"/>
      <c r="B23" s="155" t="s">
        <v>102</v>
      </c>
      <c r="C23" s="156"/>
      <c r="D23" s="35">
        <f>D22/0.75</f>
        <v>34.00000000000001</v>
      </c>
      <c r="E23" s="23" t="s">
        <v>4</v>
      </c>
      <c r="F23" s="24"/>
      <c r="G23" s="25"/>
      <c r="H23" s="33"/>
      <c r="I23" s="149" t="s">
        <v>65</v>
      </c>
      <c r="J23" s="150"/>
      <c r="K23" s="21"/>
      <c r="L23" s="124"/>
      <c r="M23" s="124" t="s">
        <v>93</v>
      </c>
      <c r="N23" s="124" t="s">
        <v>95</v>
      </c>
      <c r="O23" s="124" t="s">
        <v>94</v>
      </c>
      <c r="P23" s="124" t="s">
        <v>96</v>
      </c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D23" s="119" t="b">
        <v>0</v>
      </c>
    </row>
    <row r="24" spans="1:28" ht="16.5" customHeight="1">
      <c r="A24" s="5"/>
      <c r="B24" s="29"/>
      <c r="C24" s="30"/>
      <c r="D24" s="35"/>
      <c r="E24" s="23"/>
      <c r="F24" s="24"/>
      <c r="G24" s="25"/>
      <c r="H24" s="100"/>
      <c r="I24" s="19" t="s">
        <v>19</v>
      </c>
      <c r="J24" s="36">
        <v>3</v>
      </c>
      <c r="K24" s="21"/>
      <c r="L24" s="124"/>
      <c r="M24" s="125">
        <v>40</v>
      </c>
      <c r="N24" s="125">
        <v>10</v>
      </c>
      <c r="O24" s="125">
        <v>5</v>
      </c>
      <c r="P24" s="126">
        <f aca="true" t="shared" si="0" ref="P24:P29">M24*N24*O24*10*0.5/3600</f>
        <v>2.7777777777777777</v>
      </c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6.5" customHeight="1">
      <c r="A25" s="5"/>
      <c r="B25" s="155" t="s">
        <v>82</v>
      </c>
      <c r="C25" s="156"/>
      <c r="D25" s="34">
        <f>10/(D15*D19)</f>
        <v>0.6666666666666666</v>
      </c>
      <c r="E25" s="23" t="s">
        <v>34</v>
      </c>
      <c r="F25" s="24"/>
      <c r="G25" s="25"/>
      <c r="H25" s="100"/>
      <c r="I25" s="19" t="s">
        <v>20</v>
      </c>
      <c r="J25" s="36">
        <v>5</v>
      </c>
      <c r="K25" s="21"/>
      <c r="L25" s="124"/>
      <c r="M25" s="125">
        <v>60</v>
      </c>
      <c r="N25" s="125">
        <v>10</v>
      </c>
      <c r="O25" s="125">
        <v>5</v>
      </c>
      <c r="P25" s="126">
        <f t="shared" si="0"/>
        <v>4.166666666666667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30" ht="16.5" customHeight="1">
      <c r="A26" s="5"/>
      <c r="B26" s="155" t="s">
        <v>35</v>
      </c>
      <c r="C26" s="156"/>
      <c r="D26" s="22">
        <f>IF(AD26=TRUE,J29,IF(AD27=TRUE,J30,IF(AD28=TRUE,J31)))</f>
        <v>0.85</v>
      </c>
      <c r="E26" s="31"/>
      <c r="F26" s="24"/>
      <c r="G26" s="25"/>
      <c r="H26" s="33"/>
      <c r="I26" s="101" t="s">
        <v>21</v>
      </c>
      <c r="J26" s="36">
        <v>7</v>
      </c>
      <c r="K26" s="21"/>
      <c r="L26" s="120"/>
      <c r="M26" s="125">
        <v>80</v>
      </c>
      <c r="N26" s="125">
        <v>10</v>
      </c>
      <c r="O26" s="125">
        <v>5</v>
      </c>
      <c r="P26" s="126">
        <f t="shared" si="0"/>
        <v>5.555555555555555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D26" s="119" t="b">
        <v>0</v>
      </c>
    </row>
    <row r="27" spans="1:30" ht="16.5" customHeight="1">
      <c r="A27" s="5"/>
      <c r="B27" s="163" t="s">
        <v>83</v>
      </c>
      <c r="C27" s="164"/>
      <c r="D27" s="39">
        <f>D25/D26</f>
        <v>0.7843137254901961</v>
      </c>
      <c r="E27" s="40" t="s">
        <v>34</v>
      </c>
      <c r="F27" s="24"/>
      <c r="G27" s="25"/>
      <c r="H27" s="33" t="s">
        <v>98</v>
      </c>
      <c r="I27" s="6"/>
      <c r="J27" s="6"/>
      <c r="K27" s="11"/>
      <c r="L27" s="124"/>
      <c r="M27" s="125">
        <v>40</v>
      </c>
      <c r="N27" s="125">
        <v>15</v>
      </c>
      <c r="O27" s="125">
        <v>5</v>
      </c>
      <c r="P27" s="126">
        <f t="shared" si="0"/>
        <v>4.166666666666667</v>
      </c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D27" s="119" t="b">
        <v>0</v>
      </c>
    </row>
    <row r="28" spans="1:30" ht="16.5" customHeight="1">
      <c r="A28" s="5"/>
      <c r="B28" s="29"/>
      <c r="C28" s="41"/>
      <c r="D28" s="39">
        <f>1/D27</f>
        <v>1.275</v>
      </c>
      <c r="E28" s="40" t="s">
        <v>36</v>
      </c>
      <c r="F28" s="24"/>
      <c r="G28" s="25"/>
      <c r="H28" s="33"/>
      <c r="I28" s="149" t="s">
        <v>43</v>
      </c>
      <c r="J28" s="150"/>
      <c r="K28" s="21"/>
      <c r="L28" s="124"/>
      <c r="M28" s="125">
        <v>60</v>
      </c>
      <c r="N28" s="125">
        <v>15</v>
      </c>
      <c r="O28" s="125">
        <v>5</v>
      </c>
      <c r="P28" s="126">
        <f t="shared" si="0"/>
        <v>6.25</v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D28" s="119" t="b">
        <v>1</v>
      </c>
    </row>
    <row r="29" spans="1:28" ht="16.5" customHeight="1">
      <c r="A29" s="5"/>
      <c r="B29" s="29"/>
      <c r="C29" s="30"/>
      <c r="D29" s="22"/>
      <c r="E29" s="31"/>
      <c r="F29" s="24"/>
      <c r="G29" s="25"/>
      <c r="H29" s="100"/>
      <c r="I29" s="19" t="s">
        <v>19</v>
      </c>
      <c r="J29" s="20">
        <v>0.65</v>
      </c>
      <c r="K29" s="21"/>
      <c r="L29" s="124"/>
      <c r="M29" s="125">
        <v>80</v>
      </c>
      <c r="N29" s="125">
        <v>15</v>
      </c>
      <c r="O29" s="125">
        <v>5</v>
      </c>
      <c r="P29" s="126">
        <f t="shared" si="0"/>
        <v>8.333333333333334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6.5" customHeight="1">
      <c r="A30" s="5"/>
      <c r="B30" s="155" t="s">
        <v>66</v>
      </c>
      <c r="C30" s="156"/>
      <c r="D30" s="22">
        <f>IF(AD32=TRUE,J34,IF(AD33=TRUE,J35,IF(AD34=TRUE,J36)))</f>
        <v>50</v>
      </c>
      <c r="E30" s="23" t="s">
        <v>3</v>
      </c>
      <c r="F30" s="24"/>
      <c r="G30" s="25"/>
      <c r="H30" s="100"/>
      <c r="I30" s="19" t="s">
        <v>20</v>
      </c>
      <c r="J30" s="20">
        <v>0.75</v>
      </c>
      <c r="K30" s="21"/>
      <c r="L30" s="124"/>
      <c r="M30" s="124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6.5" customHeight="1">
      <c r="A31" s="5"/>
      <c r="B31" s="155" t="s">
        <v>38</v>
      </c>
      <c r="C31" s="156"/>
      <c r="D31" s="35">
        <f>D23*100/D30</f>
        <v>68.00000000000001</v>
      </c>
      <c r="E31" s="23" t="s">
        <v>4</v>
      </c>
      <c r="F31" s="24"/>
      <c r="G31" s="25"/>
      <c r="H31" s="100"/>
      <c r="I31" s="19" t="s">
        <v>21</v>
      </c>
      <c r="J31" s="20">
        <v>0.85</v>
      </c>
      <c r="K31" s="21"/>
      <c r="L31" s="124"/>
      <c r="M31" s="148" t="s">
        <v>75</v>
      </c>
      <c r="N31" s="124" t="s">
        <v>73</v>
      </c>
      <c r="O31" s="124" t="s">
        <v>88</v>
      </c>
      <c r="P31" s="124" t="s">
        <v>94</v>
      </c>
      <c r="Q31" s="124" t="s">
        <v>89</v>
      </c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30" ht="16.5" customHeight="1">
      <c r="A32" s="5"/>
      <c r="B32" s="29"/>
      <c r="C32" s="30"/>
      <c r="D32" s="22"/>
      <c r="E32" s="31"/>
      <c r="F32" s="24"/>
      <c r="G32" s="25"/>
      <c r="H32" s="33"/>
      <c r="I32" s="6"/>
      <c r="J32" s="6"/>
      <c r="K32" s="11"/>
      <c r="L32" s="124"/>
      <c r="M32" s="148"/>
      <c r="N32" s="124" t="s">
        <v>76</v>
      </c>
      <c r="O32" s="125">
        <f>600*2.5/10</f>
        <v>150</v>
      </c>
      <c r="P32" s="125">
        <f>D$19</f>
        <v>5</v>
      </c>
      <c r="Q32" s="126">
        <f>O32*10*D$19/3600</f>
        <v>2.0833333333333335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D32" s="119" t="b">
        <v>0</v>
      </c>
    </row>
    <row r="33" spans="1:30" ht="16.5" customHeight="1">
      <c r="A33" s="5"/>
      <c r="B33" s="155" t="s">
        <v>104</v>
      </c>
      <c r="C33" s="156"/>
      <c r="D33" s="22" t="str">
        <f>IF(AD39=TRUE,"Pequeño",IF(AD40=TRUE,"Mediano",IF(AD41=TRUE,"Grande",IF(AD42=TRUE,"Muy Grande"))))</f>
        <v>Mediano</v>
      </c>
      <c r="E33" s="23"/>
      <c r="F33" s="24"/>
      <c r="G33" s="25"/>
      <c r="H33" s="33"/>
      <c r="I33" s="149" t="s">
        <v>37</v>
      </c>
      <c r="J33" s="150"/>
      <c r="K33" s="21"/>
      <c r="L33" s="124"/>
      <c r="M33" s="148"/>
      <c r="N33" s="124" t="s">
        <v>77</v>
      </c>
      <c r="O33" s="125">
        <f>600*3.5/10</f>
        <v>210</v>
      </c>
      <c r="P33" s="125">
        <f>D$19</f>
        <v>5</v>
      </c>
      <c r="Q33" s="126">
        <f>O33*10*D$19/3600</f>
        <v>2.9166666666666665</v>
      </c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D33" s="119" t="b">
        <v>1</v>
      </c>
    </row>
    <row r="34" spans="1:30" ht="16.5" customHeight="1">
      <c r="A34" s="5"/>
      <c r="B34" s="161" t="s">
        <v>105</v>
      </c>
      <c r="C34" s="162"/>
      <c r="D34" s="42">
        <f>IF(AD39=TRUE,J39,IF(AD40=TRUE,J40,IF(AD41=TRUE,J41,IF(AD42=TRUE,J42,""))))</f>
        <v>120</v>
      </c>
      <c r="E34" s="43" t="s">
        <v>4</v>
      </c>
      <c r="F34" s="44"/>
      <c r="G34" s="44"/>
      <c r="H34" s="100"/>
      <c r="I34" s="19" t="s">
        <v>78</v>
      </c>
      <c r="J34" s="20">
        <v>25</v>
      </c>
      <c r="K34" s="21"/>
      <c r="L34" s="124"/>
      <c r="M34" s="148"/>
      <c r="N34" s="124" t="s">
        <v>72</v>
      </c>
      <c r="O34" s="125">
        <f>600*5/10</f>
        <v>300</v>
      </c>
      <c r="P34" s="125">
        <f>D$19</f>
        <v>5</v>
      </c>
      <c r="Q34" s="126">
        <f>O34*10*D$19/3600</f>
        <v>4.166666666666667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D34" s="119" t="b">
        <v>0</v>
      </c>
    </row>
    <row r="35" spans="1:28" ht="16.5" customHeight="1">
      <c r="A35" s="5"/>
      <c r="B35" s="45"/>
      <c r="C35" s="45"/>
      <c r="D35" s="46"/>
      <c r="E35" s="9"/>
      <c r="F35" s="6"/>
      <c r="G35" s="6"/>
      <c r="H35" s="100"/>
      <c r="I35" s="19" t="s">
        <v>17</v>
      </c>
      <c r="J35" s="20">
        <v>50</v>
      </c>
      <c r="K35" s="21"/>
      <c r="L35" s="120"/>
      <c r="M35" s="124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16.5" customHeight="1">
      <c r="A36" s="5"/>
      <c r="B36" s="47" t="s">
        <v>80</v>
      </c>
      <c r="C36" s="48"/>
      <c r="D36" s="49"/>
      <c r="E36" s="50"/>
      <c r="F36" s="6"/>
      <c r="G36" s="6"/>
      <c r="H36" s="100"/>
      <c r="I36" s="19" t="s">
        <v>79</v>
      </c>
      <c r="J36" s="20">
        <v>75</v>
      </c>
      <c r="K36" s="21"/>
      <c r="L36" s="124"/>
      <c r="M36" s="154" t="s">
        <v>63</v>
      </c>
      <c r="N36" s="154"/>
      <c r="O36" s="154"/>
      <c r="P36" s="154"/>
      <c r="Q36" s="154"/>
      <c r="R36" s="154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6.5" customHeight="1">
      <c r="A37" s="5"/>
      <c r="B37" s="155" t="s">
        <v>9</v>
      </c>
      <c r="C37" s="156"/>
      <c r="D37" s="34">
        <f>IF(D30=J34,J46*D34/1.36,IF(D30=J35,J47*D34/1.36,IF(D30=J36,J48*D34/1.36)))</f>
        <v>13.235294117647058</v>
      </c>
      <c r="E37" s="28" t="s">
        <v>12</v>
      </c>
      <c r="F37" s="6"/>
      <c r="G37" s="6"/>
      <c r="H37" s="33"/>
      <c r="I37" s="6"/>
      <c r="J37" s="6"/>
      <c r="K37" s="11"/>
      <c r="L37" s="124"/>
      <c r="M37" s="154"/>
      <c r="N37" s="154"/>
      <c r="O37" s="154"/>
      <c r="P37" s="154"/>
      <c r="Q37" s="154"/>
      <c r="R37" s="154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6.5" customHeight="1">
      <c r="A38" s="5"/>
      <c r="B38" s="29"/>
      <c r="C38" s="30"/>
      <c r="D38" s="34">
        <f>D37*D27</f>
        <v>10.380622837370241</v>
      </c>
      <c r="E38" s="28" t="s">
        <v>86</v>
      </c>
      <c r="F38" s="6"/>
      <c r="G38" s="6"/>
      <c r="H38" s="33"/>
      <c r="I38" s="151" t="s">
        <v>42</v>
      </c>
      <c r="J38" s="152"/>
      <c r="K38" s="21"/>
      <c r="L38" s="124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30" ht="16.5" customHeight="1">
      <c r="A39" s="5"/>
      <c r="B39" s="155" t="s">
        <v>46</v>
      </c>
      <c r="C39" s="156"/>
      <c r="D39" s="51">
        <f>D37*0.1/100</f>
        <v>0.013235294117647059</v>
      </c>
      <c r="E39" s="28" t="s">
        <v>12</v>
      </c>
      <c r="F39" s="6"/>
      <c r="G39" s="6"/>
      <c r="H39" s="100"/>
      <c r="I39" s="52" t="s">
        <v>67</v>
      </c>
      <c r="J39" s="20">
        <v>90</v>
      </c>
      <c r="K39" s="21"/>
      <c r="L39" s="124"/>
      <c r="M39" s="127"/>
      <c r="N39" s="127"/>
      <c r="O39" s="127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D39" s="119" t="b">
        <v>0</v>
      </c>
    </row>
    <row r="40" spans="1:30" ht="16.5" customHeight="1">
      <c r="A40" s="5"/>
      <c r="B40" s="29"/>
      <c r="C40" s="30"/>
      <c r="D40" s="51">
        <f>D38*0.1/100</f>
        <v>0.010380622837370242</v>
      </c>
      <c r="E40" s="28" t="s">
        <v>86</v>
      </c>
      <c r="F40" s="6"/>
      <c r="G40" s="6"/>
      <c r="H40" s="100"/>
      <c r="I40" s="19" t="s">
        <v>39</v>
      </c>
      <c r="J40" s="20">
        <v>120</v>
      </c>
      <c r="K40" s="21"/>
      <c r="L40" s="120"/>
      <c r="M40" s="154" t="s">
        <v>115</v>
      </c>
      <c r="N40" s="154"/>
      <c r="O40" s="154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D40" s="119" t="b">
        <v>1</v>
      </c>
    </row>
    <row r="41" spans="1:30" ht="16.5" customHeight="1" thickBot="1">
      <c r="A41" s="5"/>
      <c r="B41" s="157" t="s">
        <v>84</v>
      </c>
      <c r="C41" s="158"/>
      <c r="D41" s="104">
        <v>1</v>
      </c>
      <c r="E41" s="53" t="s">
        <v>6</v>
      </c>
      <c r="F41" s="6"/>
      <c r="G41" s="6"/>
      <c r="H41" s="100"/>
      <c r="I41" s="19" t="s">
        <v>40</v>
      </c>
      <c r="J41" s="20">
        <v>150</v>
      </c>
      <c r="K41" s="21"/>
      <c r="L41" s="120"/>
      <c r="M41" s="181" t="s">
        <v>105</v>
      </c>
      <c r="N41" s="124">
        <f>D34</f>
        <v>120</v>
      </c>
      <c r="O41" s="120" t="s">
        <v>4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D41" s="119" t="b">
        <v>0</v>
      </c>
    </row>
    <row r="42" spans="1:30" ht="16.5" customHeight="1" thickTop="1">
      <c r="A42" s="5"/>
      <c r="B42" s="37" t="s">
        <v>85</v>
      </c>
      <c r="C42" s="38"/>
      <c r="D42" s="54">
        <f>D41*D37</f>
        <v>13.235294117647058</v>
      </c>
      <c r="E42" s="55" t="s">
        <v>58</v>
      </c>
      <c r="F42" s="6"/>
      <c r="G42" s="6"/>
      <c r="H42" s="100"/>
      <c r="I42" s="19" t="s">
        <v>41</v>
      </c>
      <c r="J42" s="20">
        <v>180</v>
      </c>
      <c r="K42" s="21"/>
      <c r="L42" s="124"/>
      <c r="M42" s="181"/>
      <c r="N42" s="128">
        <f>N41/1.36</f>
        <v>88.23529411764706</v>
      </c>
      <c r="O42" s="120" t="s">
        <v>1</v>
      </c>
      <c r="P42" s="120"/>
      <c r="Q42" s="182" t="s">
        <v>116</v>
      </c>
      <c r="R42" s="182"/>
      <c r="S42" s="129"/>
      <c r="T42" s="129"/>
      <c r="U42" s="120"/>
      <c r="V42" s="120"/>
      <c r="W42" s="120"/>
      <c r="X42" s="120"/>
      <c r="Y42" s="120"/>
      <c r="Z42" s="120"/>
      <c r="AA42" s="120"/>
      <c r="AB42" s="120"/>
      <c r="AD42" s="119" t="b">
        <v>0</v>
      </c>
    </row>
    <row r="43" spans="1:28" ht="16.5" customHeight="1">
      <c r="A43" s="5"/>
      <c r="B43" s="56"/>
      <c r="C43" s="57"/>
      <c r="D43" s="58">
        <f>D38*D41</f>
        <v>10.380622837370241</v>
      </c>
      <c r="E43" s="59" t="s">
        <v>56</v>
      </c>
      <c r="F43" s="6"/>
      <c r="G43" s="6"/>
      <c r="H43" s="33"/>
      <c r="I43" s="6"/>
      <c r="J43" s="6"/>
      <c r="K43" s="11"/>
      <c r="L43" s="124"/>
      <c r="M43" s="179" t="s">
        <v>119</v>
      </c>
      <c r="N43" s="124">
        <f>+I61</f>
        <v>560</v>
      </c>
      <c r="O43" s="120" t="s">
        <v>7</v>
      </c>
      <c r="P43" s="120"/>
      <c r="Q43" s="182"/>
      <c r="R43" s="182"/>
      <c r="S43" s="128"/>
      <c r="T43" s="128"/>
      <c r="U43" s="129"/>
      <c r="V43" s="120"/>
      <c r="W43" s="120"/>
      <c r="X43" s="120"/>
      <c r="Y43" s="120"/>
      <c r="Z43" s="120"/>
      <c r="AA43" s="120"/>
      <c r="AB43" s="120"/>
    </row>
    <row r="44" spans="1:28" ht="16.5" customHeight="1">
      <c r="A44" s="5"/>
      <c r="B44" s="45"/>
      <c r="C44" s="45"/>
      <c r="D44" s="60"/>
      <c r="E44" s="61"/>
      <c r="F44" s="6"/>
      <c r="G44" s="6"/>
      <c r="H44" s="33"/>
      <c r="I44" s="152" t="s">
        <v>44</v>
      </c>
      <c r="J44" s="152"/>
      <c r="K44" s="21"/>
      <c r="L44" s="124"/>
      <c r="M44" s="179"/>
      <c r="N44" s="130">
        <f>N42*N43</f>
        <v>49411.76470588235</v>
      </c>
      <c r="O44" s="120" t="s">
        <v>0</v>
      </c>
      <c r="P44" s="120"/>
      <c r="Q44" s="128" t="s">
        <v>57</v>
      </c>
      <c r="R44" s="131" t="s">
        <v>117</v>
      </c>
      <c r="S44" s="131"/>
      <c r="T44" s="131"/>
      <c r="U44" s="128"/>
      <c r="V44" s="120"/>
      <c r="W44" s="120"/>
      <c r="X44" s="120"/>
      <c r="Y44" s="120"/>
      <c r="Z44" s="120"/>
      <c r="AA44" s="120"/>
      <c r="AB44" s="120"/>
    </row>
    <row r="45" spans="1:28" ht="16.5" customHeight="1">
      <c r="A45" s="5"/>
      <c r="B45" s="47" t="s">
        <v>81</v>
      </c>
      <c r="C45" s="48"/>
      <c r="D45" s="49"/>
      <c r="E45" s="62"/>
      <c r="F45" s="48"/>
      <c r="G45" s="63"/>
      <c r="H45" s="33"/>
      <c r="I45" s="19" t="s">
        <v>45</v>
      </c>
      <c r="J45" s="20" t="s">
        <v>92</v>
      </c>
      <c r="K45" s="21"/>
      <c r="L45" s="124"/>
      <c r="M45" s="179" t="s">
        <v>118</v>
      </c>
      <c r="N45" s="130">
        <v>12000</v>
      </c>
      <c r="O45" s="120" t="s">
        <v>2</v>
      </c>
      <c r="P45" s="120"/>
      <c r="Q45" s="130">
        <v>500</v>
      </c>
      <c r="R45" s="128">
        <f>$N$44/$N$45+$N$44/($N$46*Q45)+($N$44*$N$47*0.6)/(Q45*100)+($N$44*(($N$49+$N$48)/(Q45*100)))+$N$42*$N$51*$N$50</f>
        <v>14.967058823529412</v>
      </c>
      <c r="S45" s="124"/>
      <c r="T45" s="124"/>
      <c r="U45" s="131"/>
      <c r="V45" s="120"/>
      <c r="W45" s="120"/>
      <c r="X45" s="120"/>
      <c r="Y45" s="120"/>
      <c r="Z45" s="120"/>
      <c r="AA45" s="120"/>
      <c r="AB45" s="120"/>
    </row>
    <row r="46" spans="1:28" ht="16.5" customHeight="1">
      <c r="A46" s="5"/>
      <c r="B46" s="159" t="s">
        <v>60</v>
      </c>
      <c r="C46" s="160"/>
      <c r="D46" s="15">
        <f>IF(AD49=TRUE,J51,J52)</f>
        <v>100</v>
      </c>
      <c r="E46" s="16" t="s">
        <v>57</v>
      </c>
      <c r="F46" s="17"/>
      <c r="G46" s="18"/>
      <c r="H46" s="6"/>
      <c r="I46" s="19" t="s">
        <v>19</v>
      </c>
      <c r="J46" s="64">
        <v>0.1</v>
      </c>
      <c r="K46" s="65"/>
      <c r="L46" s="120"/>
      <c r="M46" s="179"/>
      <c r="N46" s="124">
        <v>20</v>
      </c>
      <c r="O46" s="120" t="s">
        <v>5</v>
      </c>
      <c r="P46" s="120"/>
      <c r="Q46" s="130">
        <v>1000</v>
      </c>
      <c r="R46" s="128">
        <f>$N$44/$N$45+$N$44/($N$46*Q46)+($N$44*$N$47*0.6)/(Q46*100)+($N$44*(($N$49+$N$48)/(Q46*100)))+$N$42*$N$51*$N$50</f>
        <v>10.865882352941176</v>
      </c>
      <c r="S46" s="131"/>
      <c r="T46" s="131"/>
      <c r="U46" s="124"/>
      <c r="V46" s="129"/>
      <c r="W46" s="129"/>
      <c r="X46" s="120"/>
      <c r="Y46" s="120"/>
      <c r="Z46" s="120"/>
      <c r="AA46" s="120"/>
      <c r="AB46" s="120"/>
    </row>
    <row r="47" spans="1:33" ht="16.5" customHeight="1">
      <c r="A47" s="5"/>
      <c r="B47" s="29"/>
      <c r="C47" s="30"/>
      <c r="D47" s="22"/>
      <c r="E47" s="31"/>
      <c r="F47" s="24"/>
      <c r="G47" s="25"/>
      <c r="H47" s="6"/>
      <c r="I47" s="19" t="s">
        <v>20</v>
      </c>
      <c r="J47" s="64">
        <v>0.15</v>
      </c>
      <c r="K47" s="65"/>
      <c r="L47" s="120"/>
      <c r="M47" s="121" t="s">
        <v>120</v>
      </c>
      <c r="N47" s="132">
        <f>+D52</f>
        <v>5</v>
      </c>
      <c r="O47" s="120" t="s">
        <v>3</v>
      </c>
      <c r="P47" s="120"/>
      <c r="Q47" s="120"/>
      <c r="R47" s="120"/>
      <c r="S47" s="131"/>
      <c r="T47" s="131"/>
      <c r="U47" s="131"/>
      <c r="V47" s="128"/>
      <c r="W47" s="128"/>
      <c r="X47" s="120"/>
      <c r="Y47" s="129"/>
      <c r="Z47" s="129"/>
      <c r="AA47" s="129"/>
      <c r="AB47" s="129"/>
      <c r="AC47" s="133"/>
      <c r="AD47" s="134"/>
      <c r="AE47" s="133"/>
      <c r="AF47" s="133"/>
      <c r="AG47" s="135"/>
    </row>
    <row r="48" spans="1:32" ht="16.5" customHeight="1">
      <c r="A48" s="5"/>
      <c r="B48" s="155" t="s">
        <v>47</v>
      </c>
      <c r="C48" s="156"/>
      <c r="D48" s="26">
        <f>D15*F48</f>
        <v>9000</v>
      </c>
      <c r="E48" s="23" t="s">
        <v>0</v>
      </c>
      <c r="F48" s="66">
        <v>3000</v>
      </c>
      <c r="G48" s="67" t="s">
        <v>113</v>
      </c>
      <c r="H48" s="6"/>
      <c r="I48" s="19" t="s">
        <v>21</v>
      </c>
      <c r="J48" s="64">
        <v>0.207</v>
      </c>
      <c r="K48" s="65"/>
      <c r="L48" s="120"/>
      <c r="M48" s="121" t="s">
        <v>8</v>
      </c>
      <c r="N48" s="132">
        <v>0.2</v>
      </c>
      <c r="O48" s="120" t="s">
        <v>3</v>
      </c>
      <c r="P48" s="120"/>
      <c r="Q48" s="120"/>
      <c r="R48" s="120"/>
      <c r="S48" s="131"/>
      <c r="T48" s="131"/>
      <c r="U48" s="131"/>
      <c r="V48" s="131"/>
      <c r="W48" s="131"/>
      <c r="X48" s="129"/>
      <c r="Y48" s="128"/>
      <c r="Z48" s="128"/>
      <c r="AA48" s="128"/>
      <c r="AB48" s="128"/>
      <c r="AC48" s="136"/>
      <c r="AD48" s="137"/>
      <c r="AE48" s="136"/>
      <c r="AF48" s="136"/>
    </row>
    <row r="49" spans="1:32" ht="16.5" customHeight="1">
      <c r="A49" s="5"/>
      <c r="B49" s="68"/>
      <c r="C49" s="24"/>
      <c r="D49" s="26"/>
      <c r="E49" s="31"/>
      <c r="F49" s="24"/>
      <c r="G49" s="25"/>
      <c r="H49" s="6"/>
      <c r="I49" s="6"/>
      <c r="J49" s="6"/>
      <c r="K49" s="11"/>
      <c r="L49" s="120"/>
      <c r="M49" s="121" t="s">
        <v>10</v>
      </c>
      <c r="N49" s="132">
        <v>0.1</v>
      </c>
      <c r="O49" s="120" t="s">
        <v>3</v>
      </c>
      <c r="P49" s="138"/>
      <c r="Q49" s="138"/>
      <c r="R49" s="138"/>
      <c r="S49" s="131"/>
      <c r="T49" s="131"/>
      <c r="U49" s="131"/>
      <c r="V49" s="124"/>
      <c r="W49" s="124"/>
      <c r="X49" s="128"/>
      <c r="Y49" s="131"/>
      <c r="Z49" s="131"/>
      <c r="AA49" s="131"/>
      <c r="AB49" s="131"/>
      <c r="AC49" s="139"/>
      <c r="AD49" s="140" t="b">
        <v>1</v>
      </c>
      <c r="AE49" s="139"/>
      <c r="AF49" s="139"/>
    </row>
    <row r="50" spans="1:32" ht="16.5" customHeight="1">
      <c r="A50" s="5"/>
      <c r="B50" s="155" t="s">
        <v>48</v>
      </c>
      <c r="C50" s="156"/>
      <c r="D50" s="105">
        <v>3000</v>
      </c>
      <c r="E50" s="23" t="s">
        <v>54</v>
      </c>
      <c r="F50" s="34">
        <f>+$D$48/$D50</f>
        <v>3</v>
      </c>
      <c r="G50" s="67" t="s">
        <v>58</v>
      </c>
      <c r="H50" s="6"/>
      <c r="I50" s="151" t="s">
        <v>110</v>
      </c>
      <c r="J50" s="152"/>
      <c r="K50" s="21"/>
      <c r="L50" s="120"/>
      <c r="M50" s="141" t="s">
        <v>114</v>
      </c>
      <c r="N50" s="132">
        <v>0.2</v>
      </c>
      <c r="O50" s="142" t="s">
        <v>6</v>
      </c>
      <c r="P50" s="138"/>
      <c r="Q50" s="138"/>
      <c r="R50" s="138"/>
      <c r="S50" s="120"/>
      <c r="T50" s="120"/>
      <c r="U50" s="131"/>
      <c r="V50" s="131"/>
      <c r="W50" s="131"/>
      <c r="X50" s="131"/>
      <c r="Y50" s="124"/>
      <c r="Z50" s="124"/>
      <c r="AA50" s="124"/>
      <c r="AB50" s="124"/>
      <c r="AC50" s="143"/>
      <c r="AD50" s="122" t="b">
        <v>0</v>
      </c>
      <c r="AE50" s="143"/>
      <c r="AF50" s="143"/>
    </row>
    <row r="51" spans="1:32" ht="16.5" customHeight="1">
      <c r="A51" s="5"/>
      <c r="B51" s="155" t="s">
        <v>49</v>
      </c>
      <c r="C51" s="156"/>
      <c r="D51" s="106">
        <v>20</v>
      </c>
      <c r="E51" s="23" t="s">
        <v>5</v>
      </c>
      <c r="F51" s="34">
        <f>+$D$48/($D51*D46)</f>
        <v>4.5</v>
      </c>
      <c r="G51" s="67" t="s">
        <v>58</v>
      </c>
      <c r="H51" s="102"/>
      <c r="I51" s="19" t="s">
        <v>19</v>
      </c>
      <c r="J51" s="36">
        <v>100</v>
      </c>
      <c r="K51" s="21"/>
      <c r="L51" s="120"/>
      <c r="M51" s="141" t="s">
        <v>121</v>
      </c>
      <c r="N51" s="144">
        <v>0.15</v>
      </c>
      <c r="O51" s="142" t="s">
        <v>11</v>
      </c>
      <c r="P51" s="138"/>
      <c r="Q51" s="138"/>
      <c r="R51" s="138"/>
      <c r="S51" s="120"/>
      <c r="T51" s="120"/>
      <c r="U51" s="120"/>
      <c r="V51" s="131"/>
      <c r="W51" s="131"/>
      <c r="X51" s="124"/>
      <c r="Y51" s="131"/>
      <c r="Z51" s="131"/>
      <c r="AA51" s="131"/>
      <c r="AB51" s="131"/>
      <c r="AC51" s="139"/>
      <c r="AD51" s="140"/>
      <c r="AE51" s="139"/>
      <c r="AF51" s="139"/>
    </row>
    <row r="52" spans="1:32" ht="16.5" customHeight="1">
      <c r="A52" s="5"/>
      <c r="B52" s="155" t="s">
        <v>50</v>
      </c>
      <c r="C52" s="156"/>
      <c r="D52" s="106">
        <v>5</v>
      </c>
      <c r="E52" s="23" t="s">
        <v>3</v>
      </c>
      <c r="F52" s="34">
        <f>+$D$48*0.006*$D52/D46</f>
        <v>2.7</v>
      </c>
      <c r="G52" s="67" t="s">
        <v>58</v>
      </c>
      <c r="H52" s="102"/>
      <c r="I52" s="19" t="s">
        <v>21</v>
      </c>
      <c r="J52" s="69">
        <v>200</v>
      </c>
      <c r="K52" s="7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31"/>
      <c r="W52" s="131"/>
      <c r="X52" s="131"/>
      <c r="Y52" s="131"/>
      <c r="Z52" s="131"/>
      <c r="AA52" s="131"/>
      <c r="AB52" s="131"/>
      <c r="AC52" s="139"/>
      <c r="AD52" s="140"/>
      <c r="AE52" s="139"/>
      <c r="AF52" s="139"/>
    </row>
    <row r="53" spans="1:33" ht="16.5" customHeight="1">
      <c r="A53" s="5"/>
      <c r="B53" s="155" t="s">
        <v>51</v>
      </c>
      <c r="C53" s="156"/>
      <c r="D53" s="106">
        <v>0.2</v>
      </c>
      <c r="E53" s="23" t="s">
        <v>55</v>
      </c>
      <c r="F53" s="34">
        <f>+$D$48*$D53/(100*D46)</f>
        <v>0.18</v>
      </c>
      <c r="G53" s="67" t="s">
        <v>58</v>
      </c>
      <c r="H53" s="6"/>
      <c r="I53" s="6"/>
      <c r="J53" s="6"/>
      <c r="K53" s="11"/>
      <c r="L53" s="120"/>
      <c r="M53" s="153" t="s">
        <v>68</v>
      </c>
      <c r="N53" s="153" t="s">
        <v>69</v>
      </c>
      <c r="O53" s="153" t="s">
        <v>70</v>
      </c>
      <c r="P53" s="153" t="s">
        <v>103</v>
      </c>
      <c r="Q53" s="153" t="s">
        <v>91</v>
      </c>
      <c r="R53" s="153" t="s">
        <v>71</v>
      </c>
      <c r="S53" s="153" t="s">
        <v>100</v>
      </c>
      <c r="T53" s="153" t="s">
        <v>90</v>
      </c>
      <c r="U53" s="120"/>
      <c r="V53" s="120"/>
      <c r="W53" s="131"/>
      <c r="X53" s="131"/>
      <c r="Y53" s="131"/>
      <c r="Z53" s="131"/>
      <c r="AA53" s="131"/>
      <c r="AB53" s="131"/>
      <c r="AC53" s="139"/>
      <c r="AD53" s="140"/>
      <c r="AE53" s="139"/>
      <c r="AF53" s="139"/>
      <c r="AG53" s="139"/>
    </row>
    <row r="54" spans="1:33" ht="16.5" customHeight="1">
      <c r="A54" s="5"/>
      <c r="B54" s="155" t="s">
        <v>52</v>
      </c>
      <c r="C54" s="156"/>
      <c r="D54" s="106">
        <v>0.1</v>
      </c>
      <c r="E54" s="23" t="s">
        <v>55</v>
      </c>
      <c r="F54" s="34">
        <f>+$D$48*$D54/(D46*100)</f>
        <v>0.09</v>
      </c>
      <c r="G54" s="67" t="s">
        <v>58</v>
      </c>
      <c r="H54" s="6"/>
      <c r="I54" s="6"/>
      <c r="J54" s="6"/>
      <c r="K54" s="11"/>
      <c r="L54" s="120"/>
      <c r="M54" s="153"/>
      <c r="N54" s="153"/>
      <c r="O54" s="153"/>
      <c r="P54" s="153"/>
      <c r="Q54" s="153"/>
      <c r="R54" s="153"/>
      <c r="S54" s="153"/>
      <c r="T54" s="153"/>
      <c r="U54" s="120"/>
      <c r="V54" s="120"/>
      <c r="W54" s="120"/>
      <c r="X54" s="120"/>
      <c r="Y54" s="131"/>
      <c r="Z54" s="131"/>
      <c r="AA54" s="131"/>
      <c r="AB54" s="131"/>
      <c r="AC54" s="139"/>
      <c r="AD54" s="140"/>
      <c r="AE54" s="139"/>
      <c r="AF54" s="139"/>
      <c r="AG54" s="139"/>
    </row>
    <row r="55" spans="1:28" ht="16.5" customHeight="1" thickBot="1">
      <c r="A55" s="5"/>
      <c r="B55" s="157" t="s">
        <v>53</v>
      </c>
      <c r="C55" s="158"/>
      <c r="D55" s="104">
        <v>4</v>
      </c>
      <c r="E55" s="71" t="s">
        <v>56</v>
      </c>
      <c r="F55" s="72">
        <f>+D55/D27</f>
        <v>5.1</v>
      </c>
      <c r="G55" s="73" t="s">
        <v>58</v>
      </c>
      <c r="H55" s="6"/>
      <c r="I55" s="183" t="str">
        <f>CONCATENATE("Vida útil para ",D46," h/año")</f>
        <v>Vida útil para 100 h/año</v>
      </c>
      <c r="J55" s="184"/>
      <c r="K55" s="74"/>
      <c r="L55" s="120"/>
      <c r="M55" s="124">
        <v>180</v>
      </c>
      <c r="N55" s="125">
        <v>75</v>
      </c>
      <c r="O55" s="125">
        <f>N55/100*M55</f>
        <v>135</v>
      </c>
      <c r="P55" s="145">
        <f aca="true" t="shared" si="1" ref="P55:P66">0.75*O55</f>
        <v>101.25</v>
      </c>
      <c r="Q55" s="125">
        <f aca="true" t="shared" si="2" ref="Q55:Q66">D$18</f>
        <v>60</v>
      </c>
      <c r="R55" s="125">
        <f aca="true" t="shared" si="3" ref="R55:R66">D$14</f>
        <v>15</v>
      </c>
      <c r="S55" s="126">
        <f aca="true" t="shared" si="4" ref="S55:S66">IF(R$55=15,P$28,P$25)</f>
        <v>6.25</v>
      </c>
      <c r="T55" s="126">
        <f aca="true" t="shared" si="5" ref="T55:T66">P55/(S55*1.36)</f>
        <v>11.911764705882353</v>
      </c>
      <c r="U55" s="120"/>
      <c r="V55" s="120"/>
      <c r="W55" s="120"/>
      <c r="X55" s="120"/>
      <c r="Y55" s="131"/>
      <c r="Z55" s="120"/>
      <c r="AA55" s="120"/>
      <c r="AB55" s="120"/>
    </row>
    <row r="56" spans="1:28" ht="16.5" customHeight="1" thickTop="1">
      <c r="A56" s="5"/>
      <c r="B56" s="37" t="s">
        <v>59</v>
      </c>
      <c r="C56" s="75"/>
      <c r="D56" s="31"/>
      <c r="E56" s="31"/>
      <c r="F56" s="34">
        <f>SUM(F50:F55)</f>
        <v>15.569999999999999</v>
      </c>
      <c r="G56" s="67" t="s">
        <v>58</v>
      </c>
      <c r="H56" s="6"/>
      <c r="I56" s="76" t="s">
        <v>54</v>
      </c>
      <c r="J56" s="77">
        <f>+$D$48/($F$50+$F$51)</f>
        <v>1200</v>
      </c>
      <c r="K56" s="78"/>
      <c r="L56" s="120"/>
      <c r="M56" s="124">
        <v>180</v>
      </c>
      <c r="N56" s="125">
        <v>50</v>
      </c>
      <c r="O56" s="125">
        <f aca="true" t="shared" si="6" ref="O56:O66">N56/100*M56</f>
        <v>90</v>
      </c>
      <c r="P56" s="145">
        <f t="shared" si="1"/>
        <v>67.5</v>
      </c>
      <c r="Q56" s="125">
        <f t="shared" si="2"/>
        <v>60</v>
      </c>
      <c r="R56" s="125">
        <f t="shared" si="3"/>
        <v>15</v>
      </c>
      <c r="S56" s="126">
        <f t="shared" si="4"/>
        <v>6.25</v>
      </c>
      <c r="T56" s="126">
        <f t="shared" si="5"/>
        <v>7.9411764705882355</v>
      </c>
      <c r="U56" s="120"/>
      <c r="V56" s="120"/>
      <c r="W56" s="120"/>
      <c r="X56" s="120"/>
      <c r="Y56" s="120"/>
      <c r="Z56" s="120"/>
      <c r="AA56" s="120"/>
      <c r="AB56" s="120"/>
    </row>
    <row r="57" spans="1:28" ht="16.5" customHeight="1">
      <c r="A57" s="5"/>
      <c r="B57" s="79"/>
      <c r="C57" s="80"/>
      <c r="D57" s="81"/>
      <c r="E57" s="81"/>
      <c r="F57" s="82">
        <f>+F56*D27</f>
        <v>12.211764705882352</v>
      </c>
      <c r="G57" s="83" t="s">
        <v>56</v>
      </c>
      <c r="H57" s="6"/>
      <c r="I57" s="76" t="s">
        <v>5</v>
      </c>
      <c r="J57" s="84">
        <f>+$D$48/(D46*($F$50+$F$51))</f>
        <v>12</v>
      </c>
      <c r="K57" s="85"/>
      <c r="L57" s="120"/>
      <c r="M57" s="124">
        <v>180</v>
      </c>
      <c r="N57" s="125">
        <v>25</v>
      </c>
      <c r="O57" s="125">
        <f t="shared" si="6"/>
        <v>45</v>
      </c>
      <c r="P57" s="145">
        <f t="shared" si="1"/>
        <v>33.75</v>
      </c>
      <c r="Q57" s="125">
        <f t="shared" si="2"/>
        <v>60</v>
      </c>
      <c r="R57" s="125">
        <f t="shared" si="3"/>
        <v>15</v>
      </c>
      <c r="S57" s="126">
        <f t="shared" si="4"/>
        <v>6.25</v>
      </c>
      <c r="T57" s="126">
        <f t="shared" si="5"/>
        <v>3.9705882352941178</v>
      </c>
      <c r="U57" s="120"/>
      <c r="V57" s="120"/>
      <c r="W57" s="120"/>
      <c r="X57" s="120"/>
      <c r="Y57" s="120"/>
      <c r="Z57" s="120"/>
      <c r="AA57" s="120"/>
      <c r="AB57" s="120"/>
    </row>
    <row r="58" spans="1:28" ht="16.5" customHeight="1">
      <c r="A58" s="5"/>
      <c r="B58" s="6"/>
      <c r="C58" s="6"/>
      <c r="D58" s="9"/>
      <c r="E58" s="9"/>
      <c r="F58" s="6"/>
      <c r="G58" s="33"/>
      <c r="H58" s="6"/>
      <c r="I58" s="6"/>
      <c r="J58" s="6"/>
      <c r="K58" s="11"/>
      <c r="L58" s="120"/>
      <c r="M58" s="124">
        <v>150</v>
      </c>
      <c r="N58" s="125">
        <v>75</v>
      </c>
      <c r="O58" s="125">
        <f t="shared" si="6"/>
        <v>112.5</v>
      </c>
      <c r="P58" s="145">
        <f t="shared" si="1"/>
        <v>84.375</v>
      </c>
      <c r="Q58" s="125">
        <f t="shared" si="2"/>
        <v>60</v>
      </c>
      <c r="R58" s="125">
        <f t="shared" si="3"/>
        <v>15</v>
      </c>
      <c r="S58" s="126">
        <f t="shared" si="4"/>
        <v>6.25</v>
      </c>
      <c r="T58" s="126">
        <f t="shared" si="5"/>
        <v>9.926470588235293</v>
      </c>
      <c r="U58" s="120"/>
      <c r="V58" s="120"/>
      <c r="W58" s="120"/>
      <c r="X58" s="120"/>
      <c r="Y58" s="120"/>
      <c r="Z58" s="120"/>
      <c r="AA58" s="120"/>
      <c r="AB58" s="120"/>
    </row>
    <row r="59" spans="1:28" ht="16.5" customHeight="1">
      <c r="A59" s="5"/>
      <c r="B59" s="168" t="s">
        <v>62</v>
      </c>
      <c r="C59" s="168"/>
      <c r="D59" s="168"/>
      <c r="E59" s="167" t="s">
        <v>122</v>
      </c>
      <c r="F59" s="167"/>
      <c r="G59" s="109"/>
      <c r="H59" s="110"/>
      <c r="I59" s="6"/>
      <c r="J59" s="6"/>
      <c r="K59" s="11"/>
      <c r="L59" s="120"/>
      <c r="M59" s="124">
        <v>150</v>
      </c>
      <c r="N59" s="125">
        <v>50</v>
      </c>
      <c r="O59" s="125">
        <f t="shared" si="6"/>
        <v>75</v>
      </c>
      <c r="P59" s="145">
        <f t="shared" si="1"/>
        <v>56.25</v>
      </c>
      <c r="Q59" s="125">
        <f t="shared" si="2"/>
        <v>60</v>
      </c>
      <c r="R59" s="125">
        <f t="shared" si="3"/>
        <v>15</v>
      </c>
      <c r="S59" s="126">
        <f t="shared" si="4"/>
        <v>6.25</v>
      </c>
      <c r="T59" s="126">
        <f t="shared" si="5"/>
        <v>6.617647058823529</v>
      </c>
      <c r="U59" s="120"/>
      <c r="V59" s="120"/>
      <c r="W59" s="120"/>
      <c r="X59" s="120"/>
      <c r="Y59" s="120"/>
      <c r="Z59" s="120"/>
      <c r="AA59" s="120"/>
      <c r="AB59" s="120"/>
    </row>
    <row r="60" spans="1:28" ht="16.5" customHeight="1">
      <c r="A60" s="5"/>
      <c r="B60" s="173" t="s">
        <v>109</v>
      </c>
      <c r="C60" s="174"/>
      <c r="D60" s="86" t="s">
        <v>108</v>
      </c>
      <c r="E60" s="76" t="s">
        <v>58</v>
      </c>
      <c r="F60" s="76" t="s">
        <v>56</v>
      </c>
      <c r="G60" s="109"/>
      <c r="H60" s="110"/>
      <c r="I60" s="180" t="s">
        <v>127</v>
      </c>
      <c r="J60" s="180"/>
      <c r="K60" s="11"/>
      <c r="L60" s="120"/>
      <c r="M60" s="124">
        <v>150</v>
      </c>
      <c r="N60" s="125">
        <v>25</v>
      </c>
      <c r="O60" s="125">
        <f t="shared" si="6"/>
        <v>37.5</v>
      </c>
      <c r="P60" s="145">
        <f t="shared" si="1"/>
        <v>28.125</v>
      </c>
      <c r="Q60" s="125">
        <f t="shared" si="2"/>
        <v>60</v>
      </c>
      <c r="R60" s="125">
        <f t="shared" si="3"/>
        <v>15</v>
      </c>
      <c r="S60" s="126">
        <f t="shared" si="4"/>
        <v>6.25</v>
      </c>
      <c r="T60" s="126">
        <f t="shared" si="5"/>
        <v>3.3088235294117645</v>
      </c>
      <c r="U60" s="120"/>
      <c r="V60" s="120"/>
      <c r="W60" s="120"/>
      <c r="X60" s="120"/>
      <c r="Y60" s="120"/>
      <c r="Z60" s="120"/>
      <c r="AA60" s="120"/>
      <c r="AB60" s="120"/>
    </row>
    <row r="61" spans="1:28" ht="16.5" customHeight="1">
      <c r="A61" s="5"/>
      <c r="B61" s="19"/>
      <c r="C61" s="19" t="s">
        <v>107</v>
      </c>
      <c r="D61" s="87">
        <f>R45</f>
        <v>14.967058823529412</v>
      </c>
      <c r="E61" s="84">
        <f>IF(AD70=TRUE,D61+D42,D61*0)</f>
        <v>0</v>
      </c>
      <c r="F61" s="88">
        <f>E61*$D$27</f>
        <v>0</v>
      </c>
      <c r="G61" s="111">
        <f>IF(AD70=TRUE,F61,F61*0)</f>
        <v>0</v>
      </c>
      <c r="H61" s="110"/>
      <c r="I61" s="147">
        <v>560</v>
      </c>
      <c r="J61" s="113" t="s">
        <v>128</v>
      </c>
      <c r="K61" s="11"/>
      <c r="L61" s="120"/>
      <c r="M61" s="124">
        <v>120</v>
      </c>
      <c r="N61" s="125">
        <v>75</v>
      </c>
      <c r="O61" s="125">
        <f t="shared" si="6"/>
        <v>90</v>
      </c>
      <c r="P61" s="145">
        <f t="shared" si="1"/>
        <v>67.5</v>
      </c>
      <c r="Q61" s="125">
        <f t="shared" si="2"/>
        <v>60</v>
      </c>
      <c r="R61" s="125">
        <f t="shared" si="3"/>
        <v>15</v>
      </c>
      <c r="S61" s="126">
        <f t="shared" si="4"/>
        <v>6.25</v>
      </c>
      <c r="T61" s="126">
        <f t="shared" si="5"/>
        <v>7.9411764705882355</v>
      </c>
      <c r="U61" s="120"/>
      <c r="V61" s="120"/>
      <c r="W61" s="120"/>
      <c r="X61" s="120"/>
      <c r="Y61" s="120"/>
      <c r="Z61" s="120"/>
      <c r="AA61" s="120"/>
      <c r="AB61" s="120"/>
    </row>
    <row r="62" spans="1:28" ht="16.5" customHeight="1">
      <c r="A62" s="5"/>
      <c r="B62" s="19"/>
      <c r="C62" s="19" t="s">
        <v>106</v>
      </c>
      <c r="D62" s="87">
        <f>R46</f>
        <v>10.865882352941176</v>
      </c>
      <c r="E62" s="84">
        <f>IF(AD71=TRUE,D62+D42,D62*0)</f>
        <v>24.101176470588236</v>
      </c>
      <c r="F62" s="88">
        <f>E62*$D$27</f>
        <v>18.902883506343713</v>
      </c>
      <c r="G62" s="111">
        <f>IF(AD71=TRUE,F62,F62*0)</f>
        <v>18.902883506343713</v>
      </c>
      <c r="H62" s="110"/>
      <c r="I62" s="6"/>
      <c r="J62" s="6"/>
      <c r="K62" s="11"/>
      <c r="L62" s="120"/>
      <c r="M62" s="124">
        <v>120</v>
      </c>
      <c r="N62" s="125">
        <v>50</v>
      </c>
      <c r="O62" s="125">
        <f t="shared" si="6"/>
        <v>60</v>
      </c>
      <c r="P62" s="145">
        <f t="shared" si="1"/>
        <v>45</v>
      </c>
      <c r="Q62" s="125">
        <f t="shared" si="2"/>
        <v>60</v>
      </c>
      <c r="R62" s="125">
        <f t="shared" si="3"/>
        <v>15</v>
      </c>
      <c r="S62" s="126">
        <f t="shared" si="4"/>
        <v>6.25</v>
      </c>
      <c r="T62" s="126">
        <f t="shared" si="5"/>
        <v>5.294117647058823</v>
      </c>
      <c r="U62" s="120"/>
      <c r="V62" s="120"/>
      <c r="W62" s="120"/>
      <c r="X62" s="120"/>
      <c r="Y62" s="120"/>
      <c r="Z62" s="120"/>
      <c r="AA62" s="120"/>
      <c r="AB62" s="120"/>
    </row>
    <row r="63" spans="1:28" ht="16.5" customHeight="1">
      <c r="A63" s="5"/>
      <c r="B63" s="6"/>
      <c r="C63" s="89"/>
      <c r="D63" s="9"/>
      <c r="E63" s="7"/>
      <c r="F63" s="90"/>
      <c r="G63" s="109"/>
      <c r="H63" s="110"/>
      <c r="I63" s="6"/>
      <c r="J63" s="6"/>
      <c r="K63" s="11"/>
      <c r="L63" s="120"/>
      <c r="M63" s="124">
        <v>120</v>
      </c>
      <c r="N63" s="125">
        <v>25</v>
      </c>
      <c r="O63" s="125">
        <f t="shared" si="6"/>
        <v>30</v>
      </c>
      <c r="P63" s="145">
        <f t="shared" si="1"/>
        <v>22.5</v>
      </c>
      <c r="Q63" s="125">
        <f t="shared" si="2"/>
        <v>60</v>
      </c>
      <c r="R63" s="125">
        <f t="shared" si="3"/>
        <v>15</v>
      </c>
      <c r="S63" s="126">
        <f t="shared" si="4"/>
        <v>6.25</v>
      </c>
      <c r="T63" s="126">
        <f t="shared" si="5"/>
        <v>2.6470588235294117</v>
      </c>
      <c r="U63" s="120"/>
      <c r="V63" s="120"/>
      <c r="W63" s="120"/>
      <c r="X63" s="120"/>
      <c r="Y63" s="120"/>
      <c r="Z63" s="120"/>
      <c r="AA63" s="120"/>
      <c r="AB63" s="120"/>
    </row>
    <row r="64" spans="1:28" ht="16.5" customHeight="1">
      <c r="A64" s="5"/>
      <c r="B64" s="169" t="s">
        <v>123</v>
      </c>
      <c r="C64" s="170"/>
      <c r="D64" s="171"/>
      <c r="E64" s="172" t="s">
        <v>59</v>
      </c>
      <c r="F64" s="172"/>
      <c r="G64" s="109"/>
      <c r="H64" s="110"/>
      <c r="I64" s="6"/>
      <c r="J64" s="6"/>
      <c r="K64" s="11"/>
      <c r="L64" s="120"/>
      <c r="M64" s="124">
        <v>90</v>
      </c>
      <c r="N64" s="125">
        <v>75</v>
      </c>
      <c r="O64" s="125">
        <f t="shared" si="6"/>
        <v>67.5</v>
      </c>
      <c r="P64" s="145">
        <f t="shared" si="1"/>
        <v>50.625</v>
      </c>
      <c r="Q64" s="125">
        <f t="shared" si="2"/>
        <v>60</v>
      </c>
      <c r="R64" s="125">
        <f t="shared" si="3"/>
        <v>15</v>
      </c>
      <c r="S64" s="126">
        <f t="shared" si="4"/>
        <v>6.25</v>
      </c>
      <c r="T64" s="126">
        <f t="shared" si="5"/>
        <v>5.955882352941177</v>
      </c>
      <c r="U64" s="120"/>
      <c r="V64" s="120"/>
      <c r="W64" s="120"/>
      <c r="X64" s="120"/>
      <c r="Y64" s="120"/>
      <c r="Z64" s="120"/>
      <c r="AA64" s="120"/>
      <c r="AB64" s="120"/>
    </row>
    <row r="65" spans="1:28" ht="16.5" customHeight="1">
      <c r="A65" s="5"/>
      <c r="B65" s="173" t="s">
        <v>109</v>
      </c>
      <c r="C65" s="174"/>
      <c r="D65" s="91" t="s">
        <v>61</v>
      </c>
      <c r="E65" s="177" t="s">
        <v>56</v>
      </c>
      <c r="F65" s="178"/>
      <c r="G65" s="112"/>
      <c r="H65" s="110"/>
      <c r="I65" s="6"/>
      <c r="J65" s="6"/>
      <c r="K65" s="11"/>
      <c r="L65" s="120"/>
      <c r="M65" s="124">
        <v>90</v>
      </c>
      <c r="N65" s="125">
        <v>50</v>
      </c>
      <c r="O65" s="125">
        <f t="shared" si="6"/>
        <v>45</v>
      </c>
      <c r="P65" s="145">
        <f t="shared" si="1"/>
        <v>33.75</v>
      </c>
      <c r="Q65" s="125">
        <f t="shared" si="2"/>
        <v>60</v>
      </c>
      <c r="R65" s="125">
        <f t="shared" si="3"/>
        <v>15</v>
      </c>
      <c r="S65" s="126">
        <f t="shared" si="4"/>
        <v>6.25</v>
      </c>
      <c r="T65" s="126">
        <f t="shared" si="5"/>
        <v>3.9705882352941178</v>
      </c>
      <c r="U65" s="120"/>
      <c r="V65" s="120"/>
      <c r="W65" s="120"/>
      <c r="X65" s="120"/>
      <c r="Y65" s="120"/>
      <c r="Z65" s="120"/>
      <c r="AA65" s="120"/>
      <c r="AB65" s="120"/>
    </row>
    <row r="66" spans="1:28" ht="16.5" customHeight="1">
      <c r="A66" s="5"/>
      <c r="B66" s="19"/>
      <c r="C66" s="19" t="str">
        <f>IF(D46=J51,"Baja","Alta")</f>
        <v>Baja</v>
      </c>
      <c r="D66" s="92">
        <f>D46*D28</f>
        <v>127.49999999999999</v>
      </c>
      <c r="E66" s="165">
        <f>+F57+$G$61+$G$62</f>
        <v>31.114648212226065</v>
      </c>
      <c r="F66" s="166" t="e">
        <f>$D$27*($D$48/$D$50)+$D$48/($D$51*D66*$D$27)+(($D$48*0.006*$D$52)/(D66*$D$27))+$D$48*($D$53+$D$54)/(100*D66*$D$27)+($D$55/$D$27)+#REF!</f>
        <v>#REF!</v>
      </c>
      <c r="G66" s="33"/>
      <c r="H66" s="6"/>
      <c r="I66" s="6"/>
      <c r="J66" s="6"/>
      <c r="K66" s="11"/>
      <c r="L66" s="120"/>
      <c r="M66" s="124">
        <v>90</v>
      </c>
      <c r="N66" s="125">
        <v>25</v>
      </c>
      <c r="O66" s="125">
        <f t="shared" si="6"/>
        <v>22.5</v>
      </c>
      <c r="P66" s="145">
        <f t="shared" si="1"/>
        <v>16.875</v>
      </c>
      <c r="Q66" s="125">
        <f t="shared" si="2"/>
        <v>60</v>
      </c>
      <c r="R66" s="125">
        <f t="shared" si="3"/>
        <v>15</v>
      </c>
      <c r="S66" s="126">
        <f t="shared" si="4"/>
        <v>6.25</v>
      </c>
      <c r="T66" s="126">
        <f t="shared" si="5"/>
        <v>1.9852941176470589</v>
      </c>
      <c r="U66" s="120"/>
      <c r="V66" s="120"/>
      <c r="W66" s="120"/>
      <c r="X66" s="120"/>
      <c r="Y66" s="120"/>
      <c r="Z66" s="120"/>
      <c r="AA66" s="120"/>
      <c r="AB66" s="120"/>
    </row>
    <row r="67" spans="1:28" ht="16.5" customHeight="1">
      <c r="A67" s="5"/>
      <c r="B67" s="6"/>
      <c r="C67" s="6"/>
      <c r="D67" s="9"/>
      <c r="E67" s="9"/>
      <c r="F67" s="6"/>
      <c r="G67" s="33"/>
      <c r="H67" s="6"/>
      <c r="I67" s="6"/>
      <c r="J67" s="6"/>
      <c r="K67" s="11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</row>
    <row r="68" spans="1:28" ht="16.5" customHeight="1">
      <c r="A68" s="93"/>
      <c r="B68" s="94"/>
      <c r="C68" s="94"/>
      <c r="D68" s="95"/>
      <c r="E68" s="95"/>
      <c r="F68" s="94"/>
      <c r="G68" s="96"/>
      <c r="H68" s="94"/>
      <c r="I68" s="94"/>
      <c r="J68" s="94"/>
      <c r="K68" s="97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</row>
    <row r="69" spans="12:28" ht="16.5" customHeight="1"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</row>
    <row r="70" spans="8:30" ht="16.5" customHeight="1">
      <c r="H70" s="146"/>
      <c r="I70" s="146"/>
      <c r="J70" s="146"/>
      <c r="K70" s="146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D70" s="119" t="b">
        <v>0</v>
      </c>
    </row>
    <row r="71" spans="8:30" ht="16.5" customHeight="1">
      <c r="H71" s="146"/>
      <c r="I71" s="146"/>
      <c r="J71" s="146"/>
      <c r="K71" s="146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D71" s="119" t="b">
        <v>1</v>
      </c>
    </row>
    <row r="72" spans="8:28" ht="16.5" customHeight="1">
      <c r="H72" s="146"/>
      <c r="I72" s="146"/>
      <c r="J72" s="146"/>
      <c r="K72" s="146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</row>
    <row r="73" spans="12:28" ht="16.5" customHeight="1"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</row>
    <row r="74" spans="12:28" ht="16.5" customHeight="1"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</row>
    <row r="75" spans="12:30" ht="16.5" customHeight="1"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D75" s="119" t="b">
        <v>0</v>
      </c>
    </row>
    <row r="76" spans="12:30" ht="16.5" customHeight="1"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D76" s="119" t="b">
        <v>1</v>
      </c>
    </row>
    <row r="77" spans="12:28" ht="16.5" customHeight="1"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</row>
    <row r="78" spans="12:28" ht="16.5" customHeight="1"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</row>
    <row r="79" spans="12:28" ht="16.5" customHeight="1"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</row>
    <row r="80" spans="12:28" ht="16.5" customHeight="1"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</row>
    <row r="81" spans="12:28" ht="16.5" customHeight="1"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</row>
    <row r="82" spans="12:28" ht="16.5" customHeight="1"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</row>
    <row r="83" spans="12:28" ht="16.5" customHeight="1"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</row>
    <row r="84" spans="12:28" ht="16.5" customHeight="1"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</row>
    <row r="85" spans="12:28" ht="16.5" customHeight="1"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</row>
    <row r="86" spans="12:28" ht="16.5" customHeight="1"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</row>
    <row r="87" spans="12:28" ht="16.5" customHeight="1"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</row>
    <row r="88" spans="12:28" ht="16.5" customHeight="1"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</row>
    <row r="89" spans="12:28" ht="16.5" customHeight="1"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</row>
    <row r="90" spans="12:28" ht="16.5" customHeight="1"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</row>
    <row r="91" ht="16.5" customHeight="1"/>
  </sheetData>
  <sheetProtection/>
  <mergeCells count="60">
    <mergeCell ref="I60:J60"/>
    <mergeCell ref="M40:O40"/>
    <mergeCell ref="M41:M42"/>
    <mergeCell ref="Q42:R43"/>
    <mergeCell ref="M43:M44"/>
    <mergeCell ref="I55:J55"/>
    <mergeCell ref="P53:P54"/>
    <mergeCell ref="Q53:Q54"/>
    <mergeCell ref="R53:R54"/>
    <mergeCell ref="M11:N11"/>
    <mergeCell ref="I50:J50"/>
    <mergeCell ref="B65:C65"/>
    <mergeCell ref="E65:F65"/>
    <mergeCell ref="B55:C55"/>
    <mergeCell ref="B14:C14"/>
    <mergeCell ref="B15:C15"/>
    <mergeCell ref="B16:C16"/>
    <mergeCell ref="B18:C18"/>
    <mergeCell ref="M45:M46"/>
    <mergeCell ref="E66:F66"/>
    <mergeCell ref="E59:F59"/>
    <mergeCell ref="B59:D59"/>
    <mergeCell ref="B64:D64"/>
    <mergeCell ref="E64:F64"/>
    <mergeCell ref="B60:C60"/>
    <mergeCell ref="B34:C34"/>
    <mergeCell ref="B37:C37"/>
    <mergeCell ref="B20:C20"/>
    <mergeCell ref="B23:C23"/>
    <mergeCell ref="B25:C25"/>
    <mergeCell ref="B26:C26"/>
    <mergeCell ref="B27:C27"/>
    <mergeCell ref="B30:C30"/>
    <mergeCell ref="I19:J19"/>
    <mergeCell ref="I23:J23"/>
    <mergeCell ref="I28:J28"/>
    <mergeCell ref="I44:J44"/>
    <mergeCell ref="B31:C31"/>
    <mergeCell ref="B46:C46"/>
    <mergeCell ref="B33:C33"/>
    <mergeCell ref="B39:C39"/>
    <mergeCell ref="B19:C19"/>
    <mergeCell ref="B21:C21"/>
    <mergeCell ref="B54:C54"/>
    <mergeCell ref="B50:C50"/>
    <mergeCell ref="B51:C51"/>
    <mergeCell ref="B41:C41"/>
    <mergeCell ref="B48:C48"/>
    <mergeCell ref="B52:C52"/>
    <mergeCell ref="B53:C53"/>
    <mergeCell ref="M31:M34"/>
    <mergeCell ref="I33:J33"/>
    <mergeCell ref="I38:J38"/>
    <mergeCell ref="M21:P22"/>
    <mergeCell ref="M36:R37"/>
    <mergeCell ref="T53:T54"/>
    <mergeCell ref="M53:M54"/>
    <mergeCell ref="N53:N54"/>
    <mergeCell ref="O53:O54"/>
    <mergeCell ref="S53:S54"/>
  </mergeCells>
  <conditionalFormatting sqref="C61">
    <cfRule type="expression" priority="1" dxfId="0" stopIfTrue="1">
      <formula>$G$61&gt;0</formula>
    </cfRule>
  </conditionalFormatting>
  <conditionalFormatting sqref="C62">
    <cfRule type="expression" priority="2" dxfId="0" stopIfTrue="1">
      <formula>$G$62&gt;0</formula>
    </cfRule>
  </conditionalFormatting>
  <conditionalFormatting sqref="J29:J31">
    <cfRule type="cellIs" priority="3" dxfId="0" operator="equal" stopIfTrue="1">
      <formula>$D$26</formula>
    </cfRule>
  </conditionalFormatting>
  <conditionalFormatting sqref="J20:J21">
    <cfRule type="cellIs" priority="4" dxfId="0" operator="equal" stopIfTrue="1">
      <formula>$D$14</formula>
    </cfRule>
  </conditionalFormatting>
  <conditionalFormatting sqref="J34:J36">
    <cfRule type="cellIs" priority="5" dxfId="0" operator="equal" stopIfTrue="1">
      <formula>$D$30</formula>
    </cfRule>
  </conditionalFormatting>
  <conditionalFormatting sqref="J15:J17">
    <cfRule type="cellIs" priority="6" dxfId="0" operator="equal" stopIfTrue="1">
      <formula>$D$18</formula>
    </cfRule>
  </conditionalFormatting>
  <conditionalFormatting sqref="J24:J26">
    <cfRule type="cellIs" priority="7" dxfId="0" operator="equal" stopIfTrue="1">
      <formula>$D$15</formula>
    </cfRule>
  </conditionalFormatting>
  <conditionalFormatting sqref="J39:J42">
    <cfRule type="cellIs" priority="8" dxfId="0" operator="equal" stopIfTrue="1">
      <formula>$D$34</formula>
    </cfRule>
  </conditionalFormatting>
  <conditionalFormatting sqref="J46">
    <cfRule type="expression" priority="9" dxfId="0" stopIfTrue="1">
      <formula>$D$30=25</formula>
    </cfRule>
  </conditionalFormatting>
  <conditionalFormatting sqref="J48">
    <cfRule type="expression" priority="10" dxfId="0" stopIfTrue="1">
      <formula>$D$30=75</formula>
    </cfRule>
  </conditionalFormatting>
  <conditionalFormatting sqref="J47">
    <cfRule type="expression" priority="11" dxfId="0" stopIfTrue="1">
      <formula>$D$30=50</formula>
    </cfRule>
  </conditionalFormatting>
  <conditionalFormatting sqref="J51:J52">
    <cfRule type="cellIs" priority="12" dxfId="0" operator="equal" stopIfTrue="1">
      <formula>$D$46</formula>
    </cfRule>
  </conditionalFormatting>
  <conditionalFormatting sqref="C66">
    <cfRule type="expression" priority="13" dxfId="0" stopIfTrue="1">
      <formula>$E$69&gt;0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00390625" style="108" customWidth="1"/>
  </cols>
  <sheetData>
    <row r="1" s="103" customFormat="1" ht="84" customHeight="1">
      <c r="A1" s="114"/>
    </row>
    <row r="2" spans="1:24" ht="24.75" customHeight="1">
      <c r="A2" s="115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2.75">
      <c r="A3" s="11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2.75">
      <c r="A4" s="114" t="s">
        <v>124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2.75">
      <c r="A5" s="114" t="s">
        <v>129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12.75">
      <c r="A6" s="114" t="s">
        <v>130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ht="12.75">
      <c r="A7" s="114" t="s">
        <v>131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28.5" customHeight="1">
      <c r="A8" s="114" t="s">
        <v>132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28.5" customHeight="1">
      <c r="A9" s="114" t="s">
        <v>133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ht="28.5" customHeight="1">
      <c r="A10" s="114" t="s">
        <v>134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28.5" customHeight="1">
      <c r="A11" s="114" t="s">
        <v>135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42.75" customHeight="1">
      <c r="A12" s="114" t="s">
        <v>136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42.75" customHeight="1">
      <c r="A13" s="114" t="s">
        <v>137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28.5" customHeight="1">
      <c r="A14" s="114" t="s">
        <v>138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28.5" customHeight="1">
      <c r="A15" s="114" t="s">
        <v>139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12.75">
      <c r="A16" s="114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2.75">
      <c r="A17" s="114" t="s">
        <v>125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2.75">
      <c r="A18" s="114" t="s">
        <v>146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28.5" customHeight="1">
      <c r="A19" s="114" t="s">
        <v>140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12.75">
      <c r="A20" s="114" t="s">
        <v>147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2.75">
      <c r="A21" s="114" t="s">
        <v>141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12.75">
      <c r="A22" s="114" t="s">
        <v>142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ht="12.75">
      <c r="A23" s="114" t="s">
        <v>149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ht="12.75">
      <c r="A24" s="114" t="s">
        <v>143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ht="12.75">
      <c r="A25" s="114" t="s">
        <v>144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ht="12.75">
      <c r="A26" s="114" t="s">
        <v>148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28.5" customHeight="1">
      <c r="A27" s="114" t="s">
        <v>145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28.5" customHeight="1">
      <c r="A28" s="114" t="s">
        <v>126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2.75">
      <c r="A29" s="114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ht="12.75">
      <c r="A30" s="10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ht="12.75">
      <c r="A31" s="10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ht="12.75">
      <c r="A32" s="107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ht="12.75">
      <c r="A33" s="107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ht="12.75">
      <c r="A34" s="107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12.75">
      <c r="A35" s="107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12.75">
      <c r="A36" s="107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ht="12.75">
      <c r="A37" s="107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ht="12.75">
      <c r="A38" s="10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ht="12.75">
      <c r="A39" s="10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ht="12.75">
      <c r="A40" s="10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ht="12.75">
      <c r="A41" s="107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ht="12.75">
      <c r="A42" s="107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ht="12.75">
      <c r="A43" s="107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ht="12.75">
      <c r="A44" s="10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ht="12.75">
      <c r="A45" s="10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ht="12.75">
      <c r="A46" s="107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ht="12.75">
      <c r="A47" s="10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ht="12.75">
      <c r="A48" s="10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ht="12.75">
      <c r="A49" s="107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ht="12.75">
      <c r="A50" s="107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ht="12.75">
      <c r="A51" s="107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ht="12.75">
      <c r="A52" s="107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ht="12.75">
      <c r="A53" s="107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ht="12.75">
      <c r="A54" s="10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ht="12.75">
      <c r="A55" s="10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ht="12.75">
      <c r="A56" s="10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12.75">
      <c r="A57" s="10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12.75">
      <c r="A58" s="10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12.75">
      <c r="A59" s="10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12.75">
      <c r="A60" s="10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12.75">
      <c r="A61" s="10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ht="12.75">
      <c r="A62" s="10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ht="12.75">
      <c r="A63" s="10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ht="12.75">
      <c r="A64" s="10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ht="12.75">
      <c r="A65" s="10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ht="12.75">
      <c r="A66" s="10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ht="12.75">
      <c r="A67" s="10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ht="12.75">
      <c r="A68" s="10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ht="12.75">
      <c r="A69" s="107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ht="12.75">
      <c r="A70" s="107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ht="12.75">
      <c r="A71" s="107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ht="12.75">
      <c r="A72" s="107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ht="12.75">
      <c r="A73" s="107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ht="12.75">
      <c r="A74" s="107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ht="12.75">
      <c r="A75" s="107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ht="12.75">
      <c r="A76" s="107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ht="12.75">
      <c r="A77" s="107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ht="12.75">
      <c r="A78" s="107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ht="12.75">
      <c r="A79" s="107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ht="12.75">
      <c r="A80" s="107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ht="12.75">
      <c r="A81" s="107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LM</cp:lastModifiedBy>
  <cp:lastPrinted>2008-09-10T12:27:46Z</cp:lastPrinted>
  <dcterms:created xsi:type="dcterms:W3CDTF">2006-04-04T09:19:27Z</dcterms:created>
  <dcterms:modified xsi:type="dcterms:W3CDTF">2014-06-27T07:52:29Z</dcterms:modified>
  <cp:category/>
  <cp:version/>
  <cp:contentType/>
  <cp:contentStatus/>
</cp:coreProperties>
</file>