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888" windowHeight="8976" tabRatio="852" activeTab="0"/>
  </bookViews>
  <sheets>
    <sheet name="Rotocultor" sheetId="1" r:id="rId1"/>
    <sheet name="Metodología" sheetId="2" r:id="rId2"/>
  </sheets>
  <definedNames>
    <definedName name="_xlnm.Print_Area" localSheetId="1">'Metodología'!$A$1:$A$29</definedName>
    <definedName name="_xlnm.Print_Area" localSheetId="0">'Rotocultor'!$A$1:$K$67</definedName>
    <definedName name="Z_039E3839_049A_4F05_9EAF_8C8ED138CC23_.wvu.Cols" localSheetId="0" hidden="1">'Rotocultor'!$AD:$AD</definedName>
    <definedName name="Z_039E3839_049A_4F05_9EAF_8C8ED138CC23_.wvu.PrintArea" localSheetId="0" hidden="1">'Rotocultor'!$A$8:$U$64</definedName>
  </definedNames>
  <calcPr fullCalcOnLoad="1"/>
</workbook>
</file>

<file path=xl/sharedStrings.xml><?xml version="1.0" encoding="utf-8"?>
<sst xmlns="http://schemas.openxmlformats.org/spreadsheetml/2006/main" count="194" uniqueCount="148">
  <si>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</si>
  <si>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</si>
  <si>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</si>
  <si>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</si>
  <si>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</si>
  <si>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</si>
  <si>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</si>
  <si>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</si>
  <si>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</si>
  <si>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</si>
  <si>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</si>
  <si>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</si>
  <si>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</si>
  <si>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</si>
  <si>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</si>
  <si>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</si>
  <si>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</si>
  <si>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</si>
  <si>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</si>
  <si>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</si>
  <si>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</si>
  <si>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</si>
  <si>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</si>
  <si>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cm</t>
  </si>
  <si>
    <t>Profundidad de trabajo (cm)</t>
  </si>
  <si>
    <t>Anchura apero</t>
  </si>
  <si>
    <t>m</t>
  </si>
  <si>
    <t>Peso apero</t>
  </si>
  <si>
    <t>kg</t>
  </si>
  <si>
    <t>Resistencia suelo</t>
  </si>
  <si>
    <t>Resist.específica (kPa)</t>
  </si>
  <si>
    <t>kPa</t>
  </si>
  <si>
    <t>Velocidad de trabajo</t>
  </si>
  <si>
    <t>km/h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</si>
  <si>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</si>
  <si>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</si>
  <si>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</si>
  <si>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</si>
  <si>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</si>
  <si>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</si>
  <si>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</si>
  <si>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</si>
  <si>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</si>
  <si>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</si>
  <si>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</si>
  <si>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</si>
  <si>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</si>
  <si>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</si>
  <si>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</si>
  <si>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</si>
  <si>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</si>
  <si>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</si>
  <si>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</si>
  <si>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</si>
  <si>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</si>
  <si>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</si>
  <si>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</si>
  <si>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</si>
  <si>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</si>
  <si>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</si>
  <si>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</si>
  <si>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</si>
  <si>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</si>
  <si>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Pase de rotocultor</t>
  </si>
  <si>
    <t>Rotocultor</t>
  </si>
  <si>
    <t>RESULTADOS MAPA para 10 cm de profundidad media: De 12 L/ha a 20 L/ha según textura y prof trabajo</t>
  </si>
  <si>
    <t>Anchura apero (m)</t>
  </si>
  <si>
    <t>Nivel de carga del tractor</t>
  </si>
  <si>
    <t>Pequeño</t>
  </si>
  <si>
    <t>pot tractor CV</t>
  </si>
  <si>
    <t>nivel carga %</t>
  </si>
  <si>
    <t>pot utilizada</t>
  </si>
  <si>
    <t>Prf trabajo (cm)</t>
  </si>
  <si>
    <t>3 m</t>
  </si>
  <si>
    <t>1,5 m</t>
  </si>
  <si>
    <t>anchura</t>
  </si>
  <si>
    <t>Potencia necesaria</t>
  </si>
  <si>
    <t>Bajo</t>
  </si>
  <si>
    <t>Alto</t>
  </si>
  <si>
    <t>COSTES DE UTILIZACIÓN</t>
  </si>
  <si>
    <t>COSTES DE POSESIÓN</t>
  </si>
  <si>
    <t>Capacidad trabajo teórica</t>
  </si>
  <si>
    <t>Capacidad trabajo real</t>
  </si>
  <si>
    <t>Coste gasóleo</t>
  </si>
  <si>
    <t>Coste combustible</t>
  </si>
  <si>
    <t>L/ha</t>
  </si>
  <si>
    <t>F(daN)</t>
  </si>
  <si>
    <t>P(kW)</t>
  </si>
  <si>
    <t>anchura max (m)</t>
  </si>
  <si>
    <t>R suelo  kPa</t>
  </si>
  <si>
    <t>Factor (L/h-kW)</t>
  </si>
  <si>
    <t>ASAE rotary hoe</t>
  </si>
  <si>
    <t>R suelo (kPa)</t>
  </si>
  <si>
    <t>v (km/h)</t>
  </si>
  <si>
    <t>Prof (cm)</t>
  </si>
  <si>
    <t>Pot (kW/m)</t>
  </si>
  <si>
    <t>kW/m</t>
  </si>
  <si>
    <t>Pot cons tdf (kW/m)</t>
  </si>
  <si>
    <t>Potencia a la tdf</t>
  </si>
  <si>
    <t>Potencia a la tdf = Potencia necesaria para arado de vertedera a igual profundidad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</si>
  <si>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</si>
  <si>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</si>
  <si>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</si>
  <si>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</si>
  <si>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</si>
  <si>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</si>
  <si>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</si>
  <si>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</si>
  <si>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</si>
  <si>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</si>
  <si>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kg/m</t>
  </si>
  <si>
    <t>€/m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</si>
  <si>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</si>
  <si>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</si>
  <si>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</si>
  <si>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</si>
  <si>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</si>
  <si>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</si>
  <si>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</si>
  <si>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</si>
  <si>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</si>
  <si>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</si>
  <si>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</si>
  <si>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</si>
  <si>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</si>
  <si>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</si>
  <si>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</si>
  <si>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 xml:space="preserve">-          Profundidad de trabajo: Alta (30 cm) y baja (20 cm)      </t>
  </si>
  <si>
    <t>-          Anchura apero: Alta (3,5 m) o baja (2,5 m)</t>
  </si>
  <si>
    <t>-          Peso del apero: Estimado en 250 kg/m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</si>
  <si>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</si>
  <si>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</si>
  <si>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del tractor: Bajo, medio o alto (se recomienda coger alto para esta operación)</t>
  </si>
  <si>
    <t>-          Velocidad de trabajo: Es un valor tomado de las velocidades recomendadas de trabajo.</t>
  </si>
  <si>
    <t>-          Potencia consumida a la toma de fuerza: Se ha estimado como la potencia consumida por un arado de vertedera trabajando a igual profundidad y con la misma resistencia característica de suelo.</t>
  </si>
  <si>
    <t>-          Coeficiente de esfuerzo de tracción: En este caso no se considera puesto que al girar el rotor en el sentido de avance del tractor, favorece al movimiento del mismo, dándose deslizamiento cero o incluso negativo.</t>
  </si>
  <si>
    <t>-          Potencia a la barra incluida rodadura: Es la potencia necesaria a la barra consideradas unas pérdidas por rodadura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</si>
  <si>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</si>
  <si>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</si>
  <si>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Precio de adquisición: Estimado en 2.250 €/m de anchura de trabajo</t>
  </si>
  <si>
    <t>-          Amortización por desgaste: 1.500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</si>
  <si>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</si>
  <si>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</si>
  <si>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</si>
  <si>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4,00 €/ha</t>
  </si>
  <si>
    <t>-          Utilización anual tractor auxiliar: Se han estimado dos rangos diferentes de trabajo, 500 y 1.000 h/año.</t>
  </si>
  <si>
    <t>-          Coste de combustible: 1,00 €/L</t>
  </si>
  <si>
    <t>-          Interés: 5 %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</si>
</sst>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4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justify" wrapText="1"/>
    </xf>
    <xf numFmtId="0" fontId="0" fillId="34" borderId="0" xfId="0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 hidden="1" locked="0"/>
    </xf>
    <xf numFmtId="0" fontId="7" fillId="0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10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5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locked="0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2" fontId="15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wrapText="1"/>
    </xf>
    <xf numFmtId="2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Font="1" applyFill="1" applyBorder="1" applyAlignment="1">
      <alignment horizontal="center"/>
    </xf>
    <xf numFmtId="164" fontId="15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164" fontId="15" fillId="33" borderId="16" xfId="0" applyNumberFormat="1" applyFont="1" applyFill="1" applyBorder="1" applyAlignment="1" applyProtection="1">
      <alignment horizontal="center"/>
      <protection hidden="1"/>
    </xf>
    <xf numFmtId="0" fontId="14" fillId="33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165" fontId="6" fillId="0" borderId="15" xfId="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3" fontId="13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165" fontId="6" fillId="34" borderId="0" xfId="0" applyNumberFormat="1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13" fillId="0" borderId="15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3" fontId="6" fillId="34" borderId="14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2" fontId="6" fillId="33" borderId="18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14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4" fillId="33" borderId="16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2" fontId="8" fillId="0" borderId="15" xfId="0" applyNumberFormat="1" applyFont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>
      <alignment/>
    </xf>
    <xf numFmtId="0" fontId="17" fillId="0" borderId="15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8" fillId="35" borderId="23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37" borderId="15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 vertical="center" wrapText="1"/>
    </xf>
    <xf numFmtId="2" fontId="16" fillId="37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>
      <alignment horizontal="left"/>
    </xf>
    <xf numFmtId="0" fontId="6" fillId="0" borderId="15" xfId="0" applyFont="1" applyFill="1" applyBorder="1" applyAlignment="1" applyProtection="1">
      <alignment horizontal="center"/>
      <protection/>
    </xf>
    <xf numFmtId="0" fontId="8" fillId="38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7.emf" /><Relationship Id="rId8" Type="http://schemas.openxmlformats.org/officeDocument/2006/relationships/image" Target="../media/image3.emf" /><Relationship Id="rId9" Type="http://schemas.openxmlformats.org/officeDocument/2006/relationships/image" Target="../media/image10.emf" /><Relationship Id="rId10" Type="http://schemas.openxmlformats.org/officeDocument/2006/relationships/image" Target="../media/image16.emf" /><Relationship Id="rId11" Type="http://schemas.openxmlformats.org/officeDocument/2006/relationships/image" Target="../media/image20.emf" /><Relationship Id="rId12" Type="http://schemas.openxmlformats.org/officeDocument/2006/relationships/image" Target="../media/image8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Relationship Id="rId15" Type="http://schemas.openxmlformats.org/officeDocument/2006/relationships/image" Target="../media/image6.emf" /><Relationship Id="rId16" Type="http://schemas.openxmlformats.org/officeDocument/2006/relationships/image" Target="../media/image18.emf" /><Relationship Id="rId17" Type="http://schemas.openxmlformats.org/officeDocument/2006/relationships/image" Target="../media/image1.emf" /><Relationship Id="rId18" Type="http://schemas.openxmlformats.org/officeDocument/2006/relationships/image" Target="../media/image19.emf" /><Relationship Id="rId19" Type="http://schemas.openxmlformats.org/officeDocument/2006/relationships/image" Target="../media/image17.emf" /><Relationship Id="rId20" Type="http://schemas.openxmlformats.org/officeDocument/2006/relationships/image" Target="../media/image12.emf" /><Relationship Id="rId21" Type="http://schemas.openxmlformats.org/officeDocument/2006/relationships/image" Target="../media/image15.emf" /><Relationship Id="rId2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96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12</xdr:row>
      <xdr:rowOff>0</xdr:rowOff>
    </xdr:from>
    <xdr:to>
      <xdr:col>7</xdr:col>
      <xdr:colOff>276225</xdr:colOff>
      <xdr:row>12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2085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9525</xdr:rowOff>
    </xdr:from>
    <xdr:to>
      <xdr:col>7</xdr:col>
      <xdr:colOff>257175</xdr:colOff>
      <xdr:row>13</xdr:row>
      <xdr:rowOff>152400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295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14</xdr:row>
      <xdr:rowOff>19050</xdr:rowOff>
    </xdr:from>
    <xdr:to>
      <xdr:col>7</xdr:col>
      <xdr:colOff>247650</xdr:colOff>
      <xdr:row>14</xdr:row>
      <xdr:rowOff>133350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250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17</xdr:row>
      <xdr:rowOff>38100</xdr:rowOff>
    </xdr:from>
    <xdr:to>
      <xdr:col>7</xdr:col>
      <xdr:colOff>266700</xdr:colOff>
      <xdr:row>18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3124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18</xdr:row>
      <xdr:rowOff>47625</xdr:rowOff>
    </xdr:from>
    <xdr:to>
      <xdr:col>7</xdr:col>
      <xdr:colOff>257175</xdr:colOff>
      <xdr:row>19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33337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25</xdr:row>
      <xdr:rowOff>28575</xdr:rowOff>
    </xdr:from>
    <xdr:to>
      <xdr:col>7</xdr:col>
      <xdr:colOff>257175</xdr:colOff>
      <xdr:row>26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47148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26</xdr:row>
      <xdr:rowOff>38100</xdr:rowOff>
    </xdr:from>
    <xdr:to>
      <xdr:col>7</xdr:col>
      <xdr:colOff>257175</xdr:colOff>
      <xdr:row>27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4924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28575</xdr:rowOff>
    </xdr:from>
    <xdr:to>
      <xdr:col>7</xdr:col>
      <xdr:colOff>257175</xdr:colOff>
      <xdr:row>28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51149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19050</xdr:rowOff>
    </xdr:from>
    <xdr:to>
      <xdr:col>7</xdr:col>
      <xdr:colOff>247650</xdr:colOff>
      <xdr:row>31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57054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31</xdr:row>
      <xdr:rowOff>0</xdr:rowOff>
    </xdr:from>
    <xdr:to>
      <xdr:col>7</xdr:col>
      <xdr:colOff>247650</xdr:colOff>
      <xdr:row>31</xdr:row>
      <xdr:rowOff>142875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86275" y="5886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32</xdr:row>
      <xdr:rowOff>9525</xdr:rowOff>
    </xdr:from>
    <xdr:to>
      <xdr:col>7</xdr:col>
      <xdr:colOff>238125</xdr:colOff>
      <xdr:row>32</xdr:row>
      <xdr:rowOff>152400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0" y="609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21</xdr:row>
      <xdr:rowOff>0</xdr:rowOff>
    </xdr:from>
    <xdr:to>
      <xdr:col>7</xdr:col>
      <xdr:colOff>276225</xdr:colOff>
      <xdr:row>21</xdr:row>
      <xdr:rowOff>142875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3886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22</xdr:row>
      <xdr:rowOff>47625</xdr:rowOff>
    </xdr:from>
    <xdr:to>
      <xdr:col>7</xdr:col>
      <xdr:colOff>247650</xdr:colOff>
      <xdr:row>23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95800" y="41338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35</xdr:row>
      <xdr:rowOff>28575</xdr:rowOff>
    </xdr:from>
    <xdr:to>
      <xdr:col>7</xdr:col>
      <xdr:colOff>238125</xdr:colOff>
      <xdr:row>36</xdr:row>
      <xdr:rowOff>9525</xdr:rowOff>
    </xdr:to>
    <xdr:pic>
      <xdr:nvPicPr>
        <xdr:cNvPr id="15" name="Option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0" y="67151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36</xdr:row>
      <xdr:rowOff>28575</xdr:rowOff>
    </xdr:from>
    <xdr:to>
      <xdr:col>7</xdr:col>
      <xdr:colOff>238125</xdr:colOff>
      <xdr:row>37</xdr:row>
      <xdr:rowOff>9525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0" y="6915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37</xdr:row>
      <xdr:rowOff>28575</xdr:rowOff>
    </xdr:from>
    <xdr:to>
      <xdr:col>7</xdr:col>
      <xdr:colOff>238125</xdr:colOff>
      <xdr:row>38</xdr:row>
      <xdr:rowOff>9525</xdr:rowOff>
    </xdr:to>
    <xdr:pic>
      <xdr:nvPicPr>
        <xdr:cNvPr id="17" name="Option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0" y="71151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58</xdr:row>
      <xdr:rowOff>28575</xdr:rowOff>
    </xdr:from>
    <xdr:to>
      <xdr:col>1</xdr:col>
      <xdr:colOff>257175</xdr:colOff>
      <xdr:row>59</xdr:row>
      <xdr:rowOff>9525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4325" y="11315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28575</xdr:rowOff>
    </xdr:from>
    <xdr:to>
      <xdr:col>1</xdr:col>
      <xdr:colOff>257175</xdr:colOff>
      <xdr:row>60</xdr:row>
      <xdr:rowOff>9525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11515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47</xdr:row>
      <xdr:rowOff>9525</xdr:rowOff>
    </xdr:from>
    <xdr:to>
      <xdr:col>7</xdr:col>
      <xdr:colOff>247650</xdr:colOff>
      <xdr:row>48</xdr:row>
      <xdr:rowOff>0</xdr:rowOff>
    </xdr:to>
    <xdr:pic>
      <xdr:nvPicPr>
        <xdr:cNvPr id="20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86275" y="9096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48</xdr:row>
      <xdr:rowOff>28575</xdr:rowOff>
    </xdr:from>
    <xdr:to>
      <xdr:col>7</xdr:col>
      <xdr:colOff>247650</xdr:colOff>
      <xdr:row>49</xdr:row>
      <xdr:rowOff>9525</xdr:rowOff>
    </xdr:to>
    <xdr:pic>
      <xdr:nvPicPr>
        <xdr:cNvPr id="21" name="OptionButton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86275" y="93154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38</xdr:row>
      <xdr:rowOff>28575</xdr:rowOff>
    </xdr:from>
    <xdr:to>
      <xdr:col>7</xdr:col>
      <xdr:colOff>238125</xdr:colOff>
      <xdr:row>39</xdr:row>
      <xdr:rowOff>9525</xdr:rowOff>
    </xdr:to>
    <xdr:pic>
      <xdr:nvPicPr>
        <xdr:cNvPr id="22" name="OptionButton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76750" y="7315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5295900</xdr:colOff>
      <xdr:row>1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8:AH74"/>
  <sheetViews>
    <sheetView showZeros="0" tabSelected="1" zoomScalePageLayoutView="0" workbookViewId="0" topLeftCell="A1">
      <selection activeCell="A8" sqref="A8"/>
    </sheetView>
  </sheetViews>
  <sheetFormatPr defaultColWidth="11.421875" defaultRowHeight="12.75"/>
  <cols>
    <col min="1" max="1" width="2.8515625" style="6" customWidth="1"/>
    <col min="2" max="2" width="5.421875" style="6" customWidth="1"/>
    <col min="3" max="3" width="24.57421875" style="6" customWidth="1"/>
    <col min="4" max="4" width="12.7109375" style="7" customWidth="1"/>
    <col min="5" max="5" width="6.57421875" style="7" customWidth="1"/>
    <col min="6" max="6" width="7.00390625" style="6" customWidth="1"/>
    <col min="7" max="7" width="6.57421875" style="8" customWidth="1"/>
    <col min="8" max="8" width="4.140625" style="6" customWidth="1"/>
    <col min="9" max="9" width="14.00390625" style="6" customWidth="1"/>
    <col min="10" max="10" width="22.8515625" style="6" customWidth="1"/>
    <col min="11" max="12" width="5.7109375" style="9" customWidth="1"/>
    <col min="13" max="13" width="15.7109375" style="10" customWidth="1"/>
    <col min="14" max="14" width="8.28125" style="10" customWidth="1"/>
    <col min="15" max="15" width="8.140625" style="10" customWidth="1"/>
    <col min="16" max="16" width="10.421875" style="10" customWidth="1"/>
    <col min="17" max="17" width="7.140625" style="10" customWidth="1"/>
    <col min="18" max="18" width="10.421875" style="10" customWidth="1"/>
    <col min="19" max="19" width="9.57421875" style="10" customWidth="1"/>
    <col min="20" max="20" width="11.421875" style="10" customWidth="1"/>
    <col min="21" max="22" width="6.57421875" style="10" customWidth="1"/>
    <col min="23" max="23" width="9.28125" style="10" customWidth="1"/>
    <col min="24" max="28" width="7.140625" style="10" customWidth="1"/>
    <col min="29" max="29" width="11.421875" style="10" customWidth="1"/>
    <col min="30" max="30" width="11.421875" style="11" hidden="1" customWidth="1"/>
    <col min="31" max="56" width="11.421875" style="12" customWidth="1"/>
    <col min="57" max="16384" width="11.57421875" style="6" customWidth="1"/>
  </cols>
  <sheetData>
    <row r="1" ht="14.25"/>
    <row r="2" ht="14.25"/>
    <row r="3" ht="13.5" customHeight="1"/>
    <row r="4" ht="12" customHeight="1"/>
    <row r="5" ht="14.25"/>
    <row r="6" ht="13.5" customHeight="1"/>
    <row r="7" ht="10.5" customHeight="1"/>
    <row r="8" spans="1:11" ht="14.25">
      <c r="A8" s="13"/>
      <c r="B8" s="14"/>
      <c r="C8" s="14"/>
      <c r="D8" s="15"/>
      <c r="E8" s="15"/>
      <c r="F8" s="14"/>
      <c r="G8" s="14"/>
      <c r="H8" s="14"/>
      <c r="I8" s="14"/>
      <c r="J8" s="14"/>
      <c r="K8" s="16"/>
    </row>
    <row r="9" spans="1:30" ht="12.75" customHeight="1">
      <c r="A9" s="17"/>
      <c r="B9" s="18"/>
      <c r="C9" s="19" t="s">
        <v>13</v>
      </c>
      <c r="D9" s="20" t="s">
        <v>63</v>
      </c>
      <c r="E9" s="21"/>
      <c r="F9" s="22"/>
      <c r="G9" s="22"/>
      <c r="H9" s="18"/>
      <c r="I9" s="18"/>
      <c r="J9" s="18"/>
      <c r="K9" s="23"/>
      <c r="M9" s="173" t="s">
        <v>109</v>
      </c>
      <c r="N9" s="174"/>
      <c r="AD9" s="25"/>
    </row>
    <row r="10" spans="1:30" ht="13.5">
      <c r="A10" s="17"/>
      <c r="B10" s="18"/>
      <c r="C10" s="19" t="s">
        <v>14</v>
      </c>
      <c r="D10" s="20" t="s">
        <v>64</v>
      </c>
      <c r="E10" s="21"/>
      <c r="F10" s="20"/>
      <c r="G10" s="20"/>
      <c r="H10" s="18"/>
      <c r="I10" s="18"/>
      <c r="J10" s="18"/>
      <c r="K10" s="26"/>
      <c r="AD10" s="25" t="b">
        <v>0</v>
      </c>
    </row>
    <row r="11" spans="1:30" ht="15.75" customHeight="1">
      <c r="A11" s="17"/>
      <c r="B11" s="18"/>
      <c r="C11" s="18"/>
      <c r="D11" s="21"/>
      <c r="E11" s="21"/>
      <c r="F11" s="18"/>
      <c r="G11" s="18"/>
      <c r="H11" s="27"/>
      <c r="I11" s="18"/>
      <c r="J11" s="18"/>
      <c r="K11" s="26"/>
      <c r="AD11" s="25" t="b">
        <v>1</v>
      </c>
    </row>
    <row r="12" spans="1:33" ht="15.75" customHeight="1">
      <c r="A12" s="17"/>
      <c r="B12" s="161" t="s">
        <v>22</v>
      </c>
      <c r="C12" s="162"/>
      <c r="D12" s="28">
        <f>IF(AD15=TRUE,J18,IF(AD16=TRUE,J19))</f>
        <v>30</v>
      </c>
      <c r="E12" s="29" t="s">
        <v>23</v>
      </c>
      <c r="F12" s="30"/>
      <c r="G12" s="30"/>
      <c r="H12" s="27"/>
      <c r="I12" s="31" t="s">
        <v>15</v>
      </c>
      <c r="J12" s="32" t="s">
        <v>30</v>
      </c>
      <c r="K12" s="33"/>
      <c r="AD12" s="11" t="b">
        <v>0</v>
      </c>
      <c r="AG12" s="34"/>
    </row>
    <row r="13" spans="1:11" ht="15.75" customHeight="1">
      <c r="A13" s="17"/>
      <c r="B13" s="157" t="s">
        <v>25</v>
      </c>
      <c r="C13" s="158"/>
      <c r="D13" s="35">
        <f>IF(AD19=TRUE,J22,IF(AD20=TRUE,J23))</f>
        <v>2.5</v>
      </c>
      <c r="E13" s="36" t="s">
        <v>26</v>
      </c>
      <c r="F13" s="30"/>
      <c r="G13" s="30"/>
      <c r="H13" s="37"/>
      <c r="I13" s="31" t="s">
        <v>16</v>
      </c>
      <c r="J13" s="32">
        <v>40</v>
      </c>
      <c r="K13" s="33"/>
    </row>
    <row r="14" spans="1:11" ht="15.75" customHeight="1">
      <c r="A14" s="17"/>
      <c r="B14" s="157" t="s">
        <v>27</v>
      </c>
      <c r="C14" s="158"/>
      <c r="D14" s="38">
        <f>F14*D13</f>
        <v>625</v>
      </c>
      <c r="E14" s="36" t="s">
        <v>28</v>
      </c>
      <c r="F14" s="39">
        <v>250</v>
      </c>
      <c r="G14" s="40" t="s">
        <v>110</v>
      </c>
      <c r="H14" s="37"/>
      <c r="I14" s="31" t="s">
        <v>17</v>
      </c>
      <c r="J14" s="32">
        <v>60</v>
      </c>
      <c r="K14" s="33"/>
    </row>
    <row r="15" spans="1:30" ht="15.75" customHeight="1">
      <c r="A15" s="17"/>
      <c r="B15" s="41"/>
      <c r="C15" s="42"/>
      <c r="D15" s="43"/>
      <c r="E15" s="44"/>
      <c r="F15" s="30"/>
      <c r="G15" s="30"/>
      <c r="H15" s="37"/>
      <c r="I15" s="31" t="s">
        <v>18</v>
      </c>
      <c r="J15" s="32">
        <v>80</v>
      </c>
      <c r="K15" s="33"/>
      <c r="AD15" s="11" t="b">
        <v>0</v>
      </c>
    </row>
    <row r="16" spans="1:33" ht="15.75" customHeight="1">
      <c r="A16" s="17"/>
      <c r="B16" s="157" t="s">
        <v>29</v>
      </c>
      <c r="C16" s="158"/>
      <c r="D16" s="43">
        <f>IF(AD10=TRUE,J13,IF(AD11=TRUE,J14,IF(AD12=TRUE,J15)))</f>
        <v>60</v>
      </c>
      <c r="E16" s="36" t="s">
        <v>31</v>
      </c>
      <c r="F16" s="30"/>
      <c r="G16" s="30"/>
      <c r="H16" s="27"/>
      <c r="I16" s="18"/>
      <c r="J16" s="18"/>
      <c r="K16" s="23"/>
      <c r="AD16" s="11" t="b">
        <v>1</v>
      </c>
      <c r="AG16" s="34"/>
    </row>
    <row r="17" spans="1:11" ht="15.75" customHeight="1">
      <c r="A17" s="17"/>
      <c r="B17" s="157" t="s">
        <v>32</v>
      </c>
      <c r="C17" s="158"/>
      <c r="D17" s="43">
        <v>3.5</v>
      </c>
      <c r="E17" s="36" t="s">
        <v>33</v>
      </c>
      <c r="F17" s="30"/>
      <c r="G17" s="30"/>
      <c r="H17" s="27"/>
      <c r="I17" s="154" t="s">
        <v>24</v>
      </c>
      <c r="J17" s="154"/>
      <c r="K17" s="33"/>
    </row>
    <row r="18" spans="1:11" ht="15.75" customHeight="1">
      <c r="A18" s="17"/>
      <c r="B18" s="157" t="s">
        <v>98</v>
      </c>
      <c r="C18" s="158"/>
      <c r="D18" s="35">
        <f>IF(D16-D12=20,P22,IF(D16-D12=40,P23,IF(D16-D12=60,P24,IF(D16-D12=10,P25,IF(D16-D12=30,P26,P27)))))</f>
        <v>17.5</v>
      </c>
      <c r="E18" s="36" t="s">
        <v>96</v>
      </c>
      <c r="F18" s="30"/>
      <c r="G18" s="30"/>
      <c r="H18" s="37"/>
      <c r="I18" s="31" t="s">
        <v>19</v>
      </c>
      <c r="J18" s="32">
        <v>20</v>
      </c>
      <c r="K18" s="33"/>
    </row>
    <row r="19" spans="1:30" ht="15.75" customHeight="1">
      <c r="A19" s="17"/>
      <c r="B19" s="157" t="s">
        <v>76</v>
      </c>
      <c r="C19" s="158"/>
      <c r="D19" s="45">
        <f>D18*D13</f>
        <v>43.75</v>
      </c>
      <c r="E19" s="36" t="s">
        <v>1</v>
      </c>
      <c r="F19" s="18"/>
      <c r="G19" s="18"/>
      <c r="H19" s="37"/>
      <c r="I19" s="31" t="s">
        <v>21</v>
      </c>
      <c r="J19" s="32">
        <v>30</v>
      </c>
      <c r="K19" s="33"/>
      <c r="M19" s="153" t="s">
        <v>99</v>
      </c>
      <c r="N19" s="153"/>
      <c r="O19" s="153"/>
      <c r="P19" s="153"/>
      <c r="AD19" s="11" t="b">
        <v>1</v>
      </c>
    </row>
    <row r="20" spans="1:30" ht="15.75" customHeight="1">
      <c r="A20" s="17"/>
      <c r="B20" s="41"/>
      <c r="C20" s="42"/>
      <c r="D20" s="45">
        <f>D19*1.36</f>
        <v>59.50000000000001</v>
      </c>
      <c r="E20" s="36" t="s">
        <v>4</v>
      </c>
      <c r="F20" s="18"/>
      <c r="G20" s="18"/>
      <c r="H20" s="27"/>
      <c r="I20" s="18"/>
      <c r="J20" s="21"/>
      <c r="K20" s="33"/>
      <c r="L20" s="46"/>
      <c r="M20" s="153"/>
      <c r="N20" s="153"/>
      <c r="O20" s="153"/>
      <c r="P20" s="153"/>
      <c r="AD20" s="11" t="b">
        <v>0</v>
      </c>
    </row>
    <row r="21" spans="1:16" ht="15.75" customHeight="1">
      <c r="A21" s="17"/>
      <c r="B21" s="157" t="s">
        <v>100</v>
      </c>
      <c r="C21" s="158"/>
      <c r="D21" s="45">
        <f>D20/0.75</f>
        <v>79.33333333333334</v>
      </c>
      <c r="E21" s="36" t="s">
        <v>4</v>
      </c>
      <c r="F21" s="18"/>
      <c r="G21" s="18"/>
      <c r="H21" s="27"/>
      <c r="I21" s="154" t="s">
        <v>66</v>
      </c>
      <c r="J21" s="154"/>
      <c r="K21" s="33"/>
      <c r="L21" s="46"/>
      <c r="M21" s="47" t="s">
        <v>92</v>
      </c>
      <c r="N21" s="47" t="s">
        <v>94</v>
      </c>
      <c r="O21" s="47" t="s">
        <v>93</v>
      </c>
      <c r="P21" s="47" t="s">
        <v>95</v>
      </c>
    </row>
    <row r="22" spans="1:34" ht="15.75" customHeight="1">
      <c r="A22" s="17"/>
      <c r="B22" s="41"/>
      <c r="C22" s="42"/>
      <c r="D22" s="45"/>
      <c r="E22" s="36"/>
      <c r="F22" s="18"/>
      <c r="G22" s="18"/>
      <c r="H22" s="37"/>
      <c r="I22" s="31" t="s">
        <v>19</v>
      </c>
      <c r="J22" s="48">
        <v>2.5</v>
      </c>
      <c r="K22" s="33"/>
      <c r="L22" s="46"/>
      <c r="M22" s="49">
        <v>40</v>
      </c>
      <c r="N22" s="49">
        <v>20</v>
      </c>
      <c r="O22" s="49">
        <v>3.5</v>
      </c>
      <c r="P22" s="50">
        <f aca="true" t="shared" si="0" ref="P22:P27">M22*N22*O22*10/3600</f>
        <v>7.777777777777778</v>
      </c>
      <c r="AH22" s="51"/>
    </row>
    <row r="23" spans="1:30" ht="15.75" customHeight="1">
      <c r="A23" s="17"/>
      <c r="B23" s="157" t="s">
        <v>81</v>
      </c>
      <c r="C23" s="158"/>
      <c r="D23" s="52">
        <f>10/(D17*D13)</f>
        <v>1.1428571428571428</v>
      </c>
      <c r="E23" s="36" t="s">
        <v>34</v>
      </c>
      <c r="F23" s="18"/>
      <c r="G23" s="18"/>
      <c r="H23" s="37"/>
      <c r="I23" s="31" t="s">
        <v>21</v>
      </c>
      <c r="J23" s="48">
        <v>3.5</v>
      </c>
      <c r="K23" s="33"/>
      <c r="L23" s="46"/>
      <c r="M23" s="49">
        <v>60</v>
      </c>
      <c r="N23" s="49">
        <v>20</v>
      </c>
      <c r="O23" s="49">
        <v>3.5</v>
      </c>
      <c r="P23" s="50">
        <f t="shared" si="0"/>
        <v>11.666666666666666</v>
      </c>
      <c r="AD23" s="11" t="b">
        <v>0</v>
      </c>
    </row>
    <row r="24" spans="1:30" ht="15.75" customHeight="1">
      <c r="A24" s="17"/>
      <c r="B24" s="157" t="s">
        <v>35</v>
      </c>
      <c r="C24" s="158"/>
      <c r="D24" s="43">
        <f>IF(AD23=TRUE,J26,IF(AD24=TRUE,J27,IF(AD25=TRUE,J28)))</f>
        <v>0.85</v>
      </c>
      <c r="E24" s="44"/>
      <c r="F24" s="18"/>
      <c r="G24" s="18"/>
      <c r="H24" s="27"/>
      <c r="I24" s="18"/>
      <c r="J24" s="18"/>
      <c r="K24" s="33"/>
      <c r="M24" s="49">
        <v>80</v>
      </c>
      <c r="N24" s="49">
        <v>20</v>
      </c>
      <c r="O24" s="49">
        <v>3.5</v>
      </c>
      <c r="P24" s="50">
        <f t="shared" si="0"/>
        <v>15.555555555555555</v>
      </c>
      <c r="AD24" s="11" t="b">
        <v>0</v>
      </c>
    </row>
    <row r="25" spans="1:30" ht="15.75" customHeight="1">
      <c r="A25" s="17"/>
      <c r="B25" s="159" t="s">
        <v>82</v>
      </c>
      <c r="C25" s="160"/>
      <c r="D25" s="55">
        <f>D23/D24</f>
        <v>1.3445378151260503</v>
      </c>
      <c r="E25" s="56" t="s">
        <v>34</v>
      </c>
      <c r="F25" s="18"/>
      <c r="G25" s="18"/>
      <c r="H25" s="27"/>
      <c r="I25" s="154" t="s">
        <v>43</v>
      </c>
      <c r="J25" s="154"/>
      <c r="K25" s="23"/>
      <c r="L25" s="46"/>
      <c r="M25" s="49">
        <v>40</v>
      </c>
      <c r="N25" s="49">
        <v>30</v>
      </c>
      <c r="O25" s="49">
        <v>3.5</v>
      </c>
      <c r="P25" s="50">
        <f t="shared" si="0"/>
        <v>11.666666666666666</v>
      </c>
      <c r="AD25" s="11" t="b">
        <v>1</v>
      </c>
    </row>
    <row r="26" spans="1:16" ht="15.75" customHeight="1">
      <c r="A26" s="17"/>
      <c r="B26" s="41"/>
      <c r="C26" s="57"/>
      <c r="D26" s="55">
        <f>1/D25</f>
        <v>0.74375</v>
      </c>
      <c r="E26" s="56" t="s">
        <v>36</v>
      </c>
      <c r="F26" s="18"/>
      <c r="G26" s="18"/>
      <c r="H26" s="37"/>
      <c r="I26" s="31" t="s">
        <v>19</v>
      </c>
      <c r="J26" s="32">
        <v>0.65</v>
      </c>
      <c r="K26" s="33"/>
      <c r="L26" s="46"/>
      <c r="M26" s="49">
        <v>60</v>
      </c>
      <c r="N26" s="49">
        <v>30</v>
      </c>
      <c r="O26" s="49">
        <v>3.5</v>
      </c>
      <c r="P26" s="50">
        <f t="shared" si="0"/>
        <v>17.5</v>
      </c>
    </row>
    <row r="27" spans="1:16" ht="15.75" customHeight="1">
      <c r="A27" s="17"/>
      <c r="B27" s="41"/>
      <c r="C27" s="42"/>
      <c r="D27" s="43"/>
      <c r="E27" s="44"/>
      <c r="F27" s="18"/>
      <c r="G27" s="18"/>
      <c r="H27" s="37"/>
      <c r="I27" s="31" t="s">
        <v>20</v>
      </c>
      <c r="J27" s="32">
        <v>0.75</v>
      </c>
      <c r="K27" s="33"/>
      <c r="L27" s="46"/>
      <c r="M27" s="49">
        <v>80</v>
      </c>
      <c r="N27" s="49">
        <v>30</v>
      </c>
      <c r="O27" s="49">
        <v>3.5</v>
      </c>
      <c r="P27" s="50">
        <f t="shared" si="0"/>
        <v>23.333333333333332</v>
      </c>
    </row>
    <row r="28" spans="1:12" ht="15.75" customHeight="1">
      <c r="A28" s="17"/>
      <c r="B28" s="157" t="s">
        <v>67</v>
      </c>
      <c r="C28" s="158"/>
      <c r="D28" s="43">
        <f>IF(AD29=TRUE,J31,IF(AD30=TRUE,J32,IF(AD31=TRUE,J33)))</f>
        <v>75</v>
      </c>
      <c r="E28" s="36" t="s">
        <v>3</v>
      </c>
      <c r="F28" s="18"/>
      <c r="G28" s="18"/>
      <c r="H28" s="37"/>
      <c r="I28" s="31" t="s">
        <v>21</v>
      </c>
      <c r="J28" s="32">
        <v>0.85</v>
      </c>
      <c r="K28" s="33"/>
      <c r="L28" s="46"/>
    </row>
    <row r="29" spans="1:30" ht="15.75" customHeight="1">
      <c r="A29" s="17"/>
      <c r="B29" s="157" t="s">
        <v>38</v>
      </c>
      <c r="C29" s="158"/>
      <c r="D29" s="45">
        <f>D21*100/D28</f>
        <v>105.77777777777779</v>
      </c>
      <c r="E29" s="36" t="s">
        <v>4</v>
      </c>
      <c r="F29" s="18"/>
      <c r="G29" s="18"/>
      <c r="H29" s="27"/>
      <c r="I29" s="18"/>
      <c r="J29" s="18"/>
      <c r="K29" s="33"/>
      <c r="L29" s="46"/>
      <c r="AD29" s="11" t="b">
        <v>0</v>
      </c>
    </row>
    <row r="30" spans="1:30" ht="15.75" customHeight="1">
      <c r="A30" s="17"/>
      <c r="B30" s="41"/>
      <c r="C30" s="42"/>
      <c r="D30" s="43"/>
      <c r="E30" s="44"/>
      <c r="F30" s="18"/>
      <c r="G30" s="18"/>
      <c r="H30" s="27"/>
      <c r="I30" s="154" t="s">
        <v>37</v>
      </c>
      <c r="J30" s="154"/>
      <c r="K30" s="23"/>
      <c r="L30" s="46"/>
      <c r="M30" s="177" t="s">
        <v>91</v>
      </c>
      <c r="N30" s="47" t="s">
        <v>75</v>
      </c>
      <c r="O30" s="47" t="s">
        <v>86</v>
      </c>
      <c r="P30" s="47" t="s">
        <v>93</v>
      </c>
      <c r="Q30" s="47" t="s">
        <v>87</v>
      </c>
      <c r="AD30" s="11" t="b">
        <v>0</v>
      </c>
    </row>
    <row r="31" spans="1:30" ht="15.75" customHeight="1">
      <c r="A31" s="17"/>
      <c r="B31" s="157" t="s">
        <v>102</v>
      </c>
      <c r="C31" s="158"/>
      <c r="D31" s="43" t="str">
        <f>IF(AD36=TRUE,"Pequeño",IF(AD37=TRUE,"Mediano",IF(AD38=TRUE,"Grande",IF(AD39=TRUE,"Muy Grande"))))</f>
        <v>Mediano</v>
      </c>
      <c r="E31" s="36"/>
      <c r="F31" s="18"/>
      <c r="G31" s="18"/>
      <c r="H31" s="37"/>
      <c r="I31" s="31" t="s">
        <v>77</v>
      </c>
      <c r="J31" s="32">
        <v>25</v>
      </c>
      <c r="K31" s="33"/>
      <c r="L31" s="46"/>
      <c r="M31" s="177"/>
      <c r="N31" s="47" t="s">
        <v>74</v>
      </c>
      <c r="O31" s="49">
        <f>600*1.5/10</f>
        <v>90</v>
      </c>
      <c r="P31" s="49">
        <f>D$17</f>
        <v>3.5</v>
      </c>
      <c r="Q31" s="49">
        <f>O31*10*D17/3600</f>
        <v>0.875</v>
      </c>
      <c r="AD31" s="11" t="b">
        <v>1</v>
      </c>
    </row>
    <row r="32" spans="1:17" ht="15.75" customHeight="1">
      <c r="A32" s="17"/>
      <c r="B32" s="169" t="s">
        <v>103</v>
      </c>
      <c r="C32" s="170"/>
      <c r="D32" s="58">
        <f>IF(AD36=TRUE,J36,IF(AD37=TRUE,J37,IF(AD38=TRUE,J38,IF(AD39=TRUE,J39,""))))</f>
        <v>120</v>
      </c>
      <c r="E32" s="59" t="s">
        <v>4</v>
      </c>
      <c r="F32" s="18"/>
      <c r="G32" s="18"/>
      <c r="H32" s="37"/>
      <c r="I32" s="31" t="s">
        <v>17</v>
      </c>
      <c r="J32" s="32">
        <v>50</v>
      </c>
      <c r="K32" s="33"/>
      <c r="L32" s="46"/>
      <c r="M32" s="177"/>
      <c r="N32" s="47" t="s">
        <v>73</v>
      </c>
      <c r="O32" s="49">
        <f>600*3/10</f>
        <v>180</v>
      </c>
      <c r="P32" s="49">
        <f>D$17</f>
        <v>3.5</v>
      </c>
      <c r="Q32" s="50">
        <f>O32*10*D17/3600</f>
        <v>1.75</v>
      </c>
    </row>
    <row r="33" spans="1:13" ht="15.75" customHeight="1">
      <c r="A33" s="17"/>
      <c r="B33" s="60"/>
      <c r="C33" s="60"/>
      <c r="D33" s="61"/>
      <c r="E33" s="21"/>
      <c r="F33" s="18"/>
      <c r="G33" s="18"/>
      <c r="H33" s="37"/>
      <c r="I33" s="31" t="s">
        <v>78</v>
      </c>
      <c r="J33" s="32">
        <v>75</v>
      </c>
      <c r="K33" s="33"/>
      <c r="M33" s="47"/>
    </row>
    <row r="34" spans="1:18" ht="15.75" customHeight="1">
      <c r="A34" s="17"/>
      <c r="B34" s="171" t="s">
        <v>79</v>
      </c>
      <c r="C34" s="172"/>
      <c r="D34" s="62"/>
      <c r="E34" s="63"/>
      <c r="F34" s="18"/>
      <c r="G34" s="18"/>
      <c r="H34" s="27"/>
      <c r="I34" s="18"/>
      <c r="J34" s="18"/>
      <c r="K34" s="33"/>
      <c r="L34" s="46"/>
      <c r="M34" s="155" t="s">
        <v>65</v>
      </c>
      <c r="N34" s="155"/>
      <c r="O34" s="155"/>
      <c r="P34" s="155"/>
      <c r="Q34" s="155"/>
      <c r="R34" s="155"/>
    </row>
    <row r="35" spans="1:18" ht="15.75" customHeight="1">
      <c r="A35" s="17"/>
      <c r="B35" s="161" t="s">
        <v>9</v>
      </c>
      <c r="C35" s="162"/>
      <c r="D35" s="64">
        <f>IF(D28=J31,J43*D32/1.36,IF(D28=J32,J44*D32/1.36,IF(D28=J33,J45*D32/1.36)))</f>
        <v>18.26470588235294</v>
      </c>
      <c r="E35" s="29" t="s">
        <v>12</v>
      </c>
      <c r="F35" s="18"/>
      <c r="G35" s="18"/>
      <c r="H35" s="27"/>
      <c r="I35" s="154" t="s">
        <v>42</v>
      </c>
      <c r="J35" s="154"/>
      <c r="K35" s="23"/>
      <c r="L35" s="46"/>
      <c r="M35" s="155"/>
      <c r="N35" s="155"/>
      <c r="O35" s="155"/>
      <c r="P35" s="155"/>
      <c r="Q35" s="155"/>
      <c r="R35" s="155"/>
    </row>
    <row r="36" spans="1:30" ht="15.75" customHeight="1">
      <c r="A36" s="17"/>
      <c r="B36" s="41"/>
      <c r="C36" s="42"/>
      <c r="D36" s="52">
        <f>D35*D25</f>
        <v>24.55758774097874</v>
      </c>
      <c r="E36" s="36" t="s">
        <v>85</v>
      </c>
      <c r="F36" s="18"/>
      <c r="G36" s="18"/>
      <c r="H36" s="37"/>
      <c r="I36" s="65" t="s">
        <v>68</v>
      </c>
      <c r="J36" s="66">
        <v>90</v>
      </c>
      <c r="K36" s="33"/>
      <c r="L36" s="46"/>
      <c r="AD36" s="11" t="b">
        <v>0</v>
      </c>
    </row>
    <row r="37" spans="1:30" ht="15.75" customHeight="1">
      <c r="A37" s="17"/>
      <c r="B37" s="157" t="s">
        <v>46</v>
      </c>
      <c r="C37" s="158"/>
      <c r="D37" s="67">
        <f>D35*0.1/100</f>
        <v>0.01826470588235294</v>
      </c>
      <c r="E37" s="36" t="s">
        <v>12</v>
      </c>
      <c r="F37" s="18"/>
      <c r="G37" s="18"/>
      <c r="H37" s="37"/>
      <c r="I37" s="31" t="s">
        <v>39</v>
      </c>
      <c r="J37" s="32">
        <v>120</v>
      </c>
      <c r="K37" s="33"/>
      <c r="L37" s="46"/>
      <c r="M37" s="68"/>
      <c r="N37" s="68"/>
      <c r="O37" s="68"/>
      <c r="AD37" s="11" t="b">
        <v>1</v>
      </c>
    </row>
    <row r="38" spans="1:30" ht="15.75" customHeight="1">
      <c r="A38" s="17"/>
      <c r="B38" s="41"/>
      <c r="C38" s="42"/>
      <c r="D38" s="67">
        <f>D36*0.1/100</f>
        <v>0.024557587740978742</v>
      </c>
      <c r="E38" s="36" t="s">
        <v>85</v>
      </c>
      <c r="F38" s="18"/>
      <c r="G38" s="18"/>
      <c r="H38" s="37"/>
      <c r="I38" s="31" t="s">
        <v>40</v>
      </c>
      <c r="J38" s="32">
        <v>150</v>
      </c>
      <c r="K38" s="33"/>
      <c r="M38" s="155" t="s">
        <v>113</v>
      </c>
      <c r="N38" s="155"/>
      <c r="O38" s="155"/>
      <c r="AD38" s="11" t="b">
        <v>0</v>
      </c>
    </row>
    <row r="39" spans="1:30" ht="15.75" customHeight="1" thickBot="1">
      <c r="A39" s="17"/>
      <c r="B39" s="167" t="s">
        <v>83</v>
      </c>
      <c r="C39" s="168"/>
      <c r="D39" s="69">
        <v>1</v>
      </c>
      <c r="E39" s="70" t="s">
        <v>6</v>
      </c>
      <c r="F39" s="18"/>
      <c r="G39" s="18"/>
      <c r="H39" s="37"/>
      <c r="I39" s="31" t="s">
        <v>41</v>
      </c>
      <c r="J39" s="32">
        <v>180</v>
      </c>
      <c r="K39" s="33"/>
      <c r="M39" s="163" t="s">
        <v>103</v>
      </c>
      <c r="N39" s="47">
        <f>D32</f>
        <v>120</v>
      </c>
      <c r="O39" s="10" t="s">
        <v>4</v>
      </c>
      <c r="AD39" s="11" t="b">
        <v>0</v>
      </c>
    </row>
    <row r="40" spans="1:19" ht="15.75" customHeight="1" thickTop="1">
      <c r="A40" s="17"/>
      <c r="B40" s="53" t="s">
        <v>84</v>
      </c>
      <c r="C40" s="54"/>
      <c r="D40" s="71">
        <f>D39*D35</f>
        <v>18.26470588235294</v>
      </c>
      <c r="E40" s="56" t="s">
        <v>58</v>
      </c>
      <c r="F40" s="18"/>
      <c r="G40" s="18"/>
      <c r="H40" s="27"/>
      <c r="I40" s="18"/>
      <c r="J40" s="18"/>
      <c r="K40" s="33"/>
      <c r="L40" s="46"/>
      <c r="M40" s="163"/>
      <c r="N40" s="72">
        <f>N39/1.36</f>
        <v>88.23529411764706</v>
      </c>
      <c r="O40" s="10" t="s">
        <v>1</v>
      </c>
      <c r="Q40" s="152" t="s">
        <v>114</v>
      </c>
      <c r="R40" s="152"/>
      <c r="S40" s="73"/>
    </row>
    <row r="41" spans="1:19" ht="15.75" customHeight="1">
      <c r="A41" s="17"/>
      <c r="B41" s="74"/>
      <c r="C41" s="75"/>
      <c r="D41" s="76">
        <f>D36*D39</f>
        <v>24.55758774097874</v>
      </c>
      <c r="E41" s="77" t="s">
        <v>56</v>
      </c>
      <c r="F41" s="18"/>
      <c r="G41" s="18"/>
      <c r="H41" s="27"/>
      <c r="I41" s="154" t="s">
        <v>44</v>
      </c>
      <c r="J41" s="154"/>
      <c r="K41" s="23"/>
      <c r="L41" s="46"/>
      <c r="M41" s="164" t="s">
        <v>117</v>
      </c>
      <c r="N41" s="47">
        <f>+I59</f>
        <v>560</v>
      </c>
      <c r="O41" s="10" t="s">
        <v>7</v>
      </c>
      <c r="Q41" s="152"/>
      <c r="R41" s="152"/>
      <c r="S41" s="72"/>
    </row>
    <row r="42" spans="1:29" ht="15.75" customHeight="1">
      <c r="A42" s="17"/>
      <c r="B42" s="60"/>
      <c r="C42" s="60"/>
      <c r="D42" s="61"/>
      <c r="E42" s="21"/>
      <c r="F42" s="18"/>
      <c r="G42" s="18"/>
      <c r="H42" s="27"/>
      <c r="I42" s="31" t="s">
        <v>45</v>
      </c>
      <c r="J42" s="66" t="s">
        <v>90</v>
      </c>
      <c r="K42" s="33"/>
      <c r="L42" s="46"/>
      <c r="M42" s="164"/>
      <c r="N42" s="78">
        <f>N40*N41</f>
        <v>49411.76470588235</v>
      </c>
      <c r="O42" s="10" t="s">
        <v>0</v>
      </c>
      <c r="Q42" s="72" t="s">
        <v>57</v>
      </c>
      <c r="R42" s="73" t="s">
        <v>115</v>
      </c>
      <c r="S42" s="73"/>
      <c r="Z42" s="73"/>
      <c r="AA42" s="73"/>
      <c r="AB42" s="73"/>
      <c r="AC42" s="73"/>
    </row>
    <row r="43" spans="1:29" ht="15.75" customHeight="1">
      <c r="A43" s="17"/>
      <c r="B43" s="165" t="s">
        <v>80</v>
      </c>
      <c r="C43" s="166"/>
      <c r="D43" s="79"/>
      <c r="E43" s="80"/>
      <c r="F43" s="81"/>
      <c r="G43" s="82"/>
      <c r="H43" s="27"/>
      <c r="I43" s="31" t="s">
        <v>19</v>
      </c>
      <c r="J43" s="83">
        <v>0.1</v>
      </c>
      <c r="K43" s="33"/>
      <c r="L43" s="46"/>
      <c r="M43" s="164" t="s">
        <v>116</v>
      </c>
      <c r="N43" s="78">
        <v>12000</v>
      </c>
      <c r="O43" s="10" t="s">
        <v>2</v>
      </c>
      <c r="Q43" s="78">
        <v>500</v>
      </c>
      <c r="R43" s="72">
        <f>$N$42/$N$43+$N$42/($N$44*Q43)+($N$42*$N$45*0.6)/(Q43*100)+($N$42*(($N$47+$N$46)/(Q43*100)))+$N$40*$N$49*$N$48</f>
        <v>14.967058823529412</v>
      </c>
      <c r="S43" s="47"/>
      <c r="Z43" s="72"/>
      <c r="AA43" s="72"/>
      <c r="AB43" s="72"/>
      <c r="AC43" s="72"/>
    </row>
    <row r="44" spans="1:29" ht="15.75" customHeight="1">
      <c r="A44" s="17"/>
      <c r="B44" s="161" t="s">
        <v>60</v>
      </c>
      <c r="C44" s="162"/>
      <c r="D44" s="28">
        <f>IF(AD47=TRUE,J48,J49)</f>
        <v>100</v>
      </c>
      <c r="E44" s="84" t="s">
        <v>57</v>
      </c>
      <c r="F44" s="85"/>
      <c r="G44" s="86"/>
      <c r="H44" s="87"/>
      <c r="I44" s="31" t="s">
        <v>20</v>
      </c>
      <c r="J44" s="83">
        <v>0.15</v>
      </c>
      <c r="K44" s="88"/>
      <c r="M44" s="164"/>
      <c r="N44" s="47">
        <v>20</v>
      </c>
      <c r="O44" s="10" t="s">
        <v>5</v>
      </c>
      <c r="Q44" s="78">
        <v>1000</v>
      </c>
      <c r="R44" s="72">
        <f>$N$42/$N$43+$N$42/($N$44*Q44)+($N$42*$N$45*0.6)/(Q44*100)+($N$42*(($N$47+$N$46)/(Q44*100)))+$N$40*$N$49*$N$48</f>
        <v>10.865882352941176</v>
      </c>
      <c r="S44" s="73"/>
      <c r="Z44" s="73"/>
      <c r="AA44" s="73"/>
      <c r="AB44" s="73"/>
      <c r="AC44" s="73"/>
    </row>
    <row r="45" spans="1:29" ht="15.75" customHeight="1">
      <c r="A45" s="17"/>
      <c r="B45" s="41"/>
      <c r="C45" s="42"/>
      <c r="D45" s="43"/>
      <c r="E45" s="89"/>
      <c r="F45" s="90"/>
      <c r="G45" s="91"/>
      <c r="H45" s="87"/>
      <c r="I45" s="31" t="s">
        <v>21</v>
      </c>
      <c r="J45" s="83">
        <v>0.207</v>
      </c>
      <c r="K45" s="88"/>
      <c r="M45" s="24" t="s">
        <v>118</v>
      </c>
      <c r="N45" s="92">
        <f>+D50</f>
        <v>5</v>
      </c>
      <c r="O45" s="10" t="s">
        <v>3</v>
      </c>
      <c r="S45" s="73"/>
      <c r="U45" s="73"/>
      <c r="Z45" s="47"/>
      <c r="AA45" s="47"/>
      <c r="AB45" s="47"/>
      <c r="AC45" s="47"/>
    </row>
    <row r="46" spans="1:29" ht="15.75" customHeight="1">
      <c r="A46" s="17"/>
      <c r="B46" s="157" t="s">
        <v>47</v>
      </c>
      <c r="C46" s="158"/>
      <c r="D46" s="38">
        <f>F46*D13</f>
        <v>6187.5</v>
      </c>
      <c r="E46" s="93" t="s">
        <v>0</v>
      </c>
      <c r="F46" s="94">
        <v>2475</v>
      </c>
      <c r="G46" s="95" t="s">
        <v>111</v>
      </c>
      <c r="H46" s="87"/>
      <c r="I46" s="18"/>
      <c r="J46" s="96"/>
      <c r="K46" s="88"/>
      <c r="M46" s="24" t="s">
        <v>8</v>
      </c>
      <c r="N46" s="92">
        <v>0.2</v>
      </c>
      <c r="O46" s="10" t="s">
        <v>3</v>
      </c>
      <c r="S46" s="73"/>
      <c r="T46" s="73"/>
      <c r="U46" s="72"/>
      <c r="Z46" s="73"/>
      <c r="AA46" s="73"/>
      <c r="AB46" s="73"/>
      <c r="AC46" s="73"/>
    </row>
    <row r="47" spans="1:30" ht="15.75" customHeight="1">
      <c r="A47" s="17"/>
      <c r="B47" s="97"/>
      <c r="C47" s="90"/>
      <c r="D47" s="38"/>
      <c r="E47" s="89"/>
      <c r="F47" s="90"/>
      <c r="G47" s="95"/>
      <c r="H47" s="18"/>
      <c r="I47" s="154" t="s">
        <v>108</v>
      </c>
      <c r="J47" s="154"/>
      <c r="K47" s="23"/>
      <c r="M47" s="24" t="s">
        <v>10</v>
      </c>
      <c r="N47" s="92">
        <v>0.1</v>
      </c>
      <c r="O47" s="10" t="s">
        <v>3</v>
      </c>
      <c r="P47" s="98"/>
      <c r="Q47" s="98"/>
      <c r="R47" s="98"/>
      <c r="S47" s="73"/>
      <c r="T47" s="72"/>
      <c r="U47" s="73"/>
      <c r="Z47" s="73"/>
      <c r="AA47" s="73"/>
      <c r="AB47" s="73"/>
      <c r="AC47" s="73"/>
      <c r="AD47" s="11" t="b">
        <v>1</v>
      </c>
    </row>
    <row r="48" spans="1:30" ht="15.75" customHeight="1">
      <c r="A48" s="17"/>
      <c r="B48" s="157" t="s">
        <v>48</v>
      </c>
      <c r="C48" s="158"/>
      <c r="D48" s="99">
        <v>1500</v>
      </c>
      <c r="E48" s="93" t="s">
        <v>54</v>
      </c>
      <c r="F48" s="52">
        <f>+$D$46/$D48</f>
        <v>4.125</v>
      </c>
      <c r="G48" s="95" t="s">
        <v>58</v>
      </c>
      <c r="H48" s="31"/>
      <c r="I48" s="31" t="s">
        <v>19</v>
      </c>
      <c r="J48" s="48">
        <v>100</v>
      </c>
      <c r="K48" s="33"/>
      <c r="M48" s="100" t="s">
        <v>112</v>
      </c>
      <c r="N48" s="92">
        <v>0.2</v>
      </c>
      <c r="O48" s="101" t="s">
        <v>6</v>
      </c>
      <c r="P48" s="98"/>
      <c r="Q48" s="98"/>
      <c r="R48" s="98"/>
      <c r="T48" s="73"/>
      <c r="U48" s="47"/>
      <c r="Z48" s="73"/>
      <c r="AA48" s="73"/>
      <c r="AB48" s="73"/>
      <c r="AC48" s="73"/>
      <c r="AD48" s="11" t="b">
        <v>0</v>
      </c>
    </row>
    <row r="49" spans="1:29" ht="15.75" customHeight="1">
      <c r="A49" s="17"/>
      <c r="B49" s="157" t="s">
        <v>49</v>
      </c>
      <c r="C49" s="158"/>
      <c r="D49" s="102">
        <v>20</v>
      </c>
      <c r="E49" s="93" t="s">
        <v>5</v>
      </c>
      <c r="F49" s="52">
        <f>+$D$46/($D49*D44)</f>
        <v>3.09375</v>
      </c>
      <c r="G49" s="95" t="s">
        <v>58</v>
      </c>
      <c r="H49" s="31"/>
      <c r="I49" s="31" t="s">
        <v>21</v>
      </c>
      <c r="J49" s="103">
        <v>200</v>
      </c>
      <c r="K49" s="33"/>
      <c r="M49" s="100" t="s">
        <v>119</v>
      </c>
      <c r="N49" s="104">
        <v>0.15</v>
      </c>
      <c r="O49" s="101" t="s">
        <v>11</v>
      </c>
      <c r="P49" s="98"/>
      <c r="Q49" s="98"/>
      <c r="R49" s="98"/>
      <c r="T49" s="47"/>
      <c r="U49" s="73"/>
      <c r="Z49" s="73"/>
      <c r="AA49" s="73"/>
      <c r="AB49" s="73"/>
      <c r="AC49" s="73"/>
    </row>
    <row r="50" spans="1:25" ht="15.75" customHeight="1">
      <c r="A50" s="17"/>
      <c r="B50" s="157" t="s">
        <v>50</v>
      </c>
      <c r="C50" s="158"/>
      <c r="D50" s="102">
        <v>5</v>
      </c>
      <c r="E50" s="93" t="s">
        <v>3</v>
      </c>
      <c r="F50" s="52">
        <f>+$D$46*0.006*$D50/D44</f>
        <v>1.85625</v>
      </c>
      <c r="G50" s="95" t="s">
        <v>58</v>
      </c>
      <c r="H50" s="87"/>
      <c r="I50" s="18"/>
      <c r="J50" s="18"/>
      <c r="K50" s="105"/>
      <c r="T50" s="73"/>
      <c r="U50" s="73"/>
      <c r="V50" s="73"/>
      <c r="W50" s="73"/>
      <c r="X50" s="73"/>
      <c r="Y50" s="73"/>
    </row>
    <row r="51" spans="1:26" ht="15.75" customHeight="1">
      <c r="A51" s="17"/>
      <c r="B51" s="157" t="s">
        <v>51</v>
      </c>
      <c r="C51" s="158"/>
      <c r="D51" s="102">
        <v>0.2</v>
      </c>
      <c r="E51" s="93" t="s">
        <v>55</v>
      </c>
      <c r="F51" s="52">
        <f>+$D$46*$D51/(100*D44)</f>
        <v>0.12375</v>
      </c>
      <c r="G51" s="95" t="s">
        <v>58</v>
      </c>
      <c r="H51" s="18"/>
      <c r="I51" s="18"/>
      <c r="J51" s="18"/>
      <c r="K51" s="23"/>
      <c r="M51" s="153" t="s">
        <v>69</v>
      </c>
      <c r="N51" s="153" t="s">
        <v>70</v>
      </c>
      <c r="O51" s="153" t="s">
        <v>71</v>
      </c>
      <c r="P51" s="153" t="s">
        <v>101</v>
      </c>
      <c r="Q51" s="153" t="s">
        <v>89</v>
      </c>
      <c r="R51" s="153" t="s">
        <v>72</v>
      </c>
      <c r="S51" s="153" t="s">
        <v>97</v>
      </c>
      <c r="T51" s="153" t="s">
        <v>88</v>
      </c>
      <c r="U51" s="73"/>
      <c r="V51" s="73"/>
      <c r="W51" s="73"/>
      <c r="X51" s="73"/>
      <c r="Y51" s="73"/>
      <c r="Z51" s="72"/>
    </row>
    <row r="52" spans="1:26" ht="15.75" customHeight="1">
      <c r="A52" s="17"/>
      <c r="B52" s="157" t="s">
        <v>52</v>
      </c>
      <c r="C52" s="158"/>
      <c r="D52" s="102">
        <v>0.1</v>
      </c>
      <c r="E52" s="93" t="s">
        <v>55</v>
      </c>
      <c r="F52" s="52">
        <f>+$D$46*$D52/(D44*100)</f>
        <v>0.061875</v>
      </c>
      <c r="G52" s="95" t="s">
        <v>58</v>
      </c>
      <c r="H52" s="18"/>
      <c r="I52" s="18"/>
      <c r="J52" s="18"/>
      <c r="K52" s="23"/>
      <c r="M52" s="153"/>
      <c r="N52" s="153"/>
      <c r="O52" s="153"/>
      <c r="P52" s="153"/>
      <c r="Q52" s="153"/>
      <c r="R52" s="153"/>
      <c r="S52" s="153"/>
      <c r="T52" s="153"/>
      <c r="U52" s="73"/>
      <c r="V52" s="73"/>
      <c r="W52" s="73"/>
      <c r="X52" s="73"/>
      <c r="Y52" s="73"/>
      <c r="Z52" s="73"/>
    </row>
    <row r="53" spans="1:26" ht="15.75" customHeight="1" thickBot="1">
      <c r="A53" s="17"/>
      <c r="B53" s="167" t="s">
        <v>53</v>
      </c>
      <c r="C53" s="168"/>
      <c r="D53" s="69">
        <v>4</v>
      </c>
      <c r="E53" s="106" t="s">
        <v>56</v>
      </c>
      <c r="F53" s="107">
        <f>+D53/D25</f>
        <v>2.975</v>
      </c>
      <c r="G53" s="108" t="s">
        <v>58</v>
      </c>
      <c r="H53" s="18"/>
      <c r="I53" s="176" t="str">
        <f>CONCATENATE("Vida útil para ",D44," h/año")</f>
        <v>Vida útil para 100 h/año</v>
      </c>
      <c r="J53" s="176"/>
      <c r="K53" s="109"/>
      <c r="M53" s="47">
        <v>180</v>
      </c>
      <c r="N53" s="49">
        <v>75</v>
      </c>
      <c r="O53" s="49">
        <f>N53/100*M53</f>
        <v>135</v>
      </c>
      <c r="P53" s="110">
        <f aca="true" t="shared" si="1" ref="P53:P64">0.75*O53</f>
        <v>101.25</v>
      </c>
      <c r="Q53" s="49">
        <f aca="true" t="shared" si="2" ref="Q53:Q64">D$16</f>
        <v>60</v>
      </c>
      <c r="R53" s="49">
        <f aca="true" t="shared" si="3" ref="R53:R64">D$12</f>
        <v>30</v>
      </c>
      <c r="S53" s="50">
        <f aca="true" t="shared" si="4" ref="S53:S64">IF(R$53=20,11.67,17.5)</f>
        <v>17.5</v>
      </c>
      <c r="T53" s="50">
        <f>P53/(S53*1.36)</f>
        <v>4.254201680672269</v>
      </c>
      <c r="U53" s="73"/>
      <c r="Z53" s="47"/>
    </row>
    <row r="54" spans="1:26" ht="15.75" customHeight="1" thickTop="1">
      <c r="A54" s="17"/>
      <c r="B54" s="53" t="s">
        <v>59</v>
      </c>
      <c r="C54" s="9"/>
      <c r="D54" s="89"/>
      <c r="E54" s="89"/>
      <c r="F54" s="52">
        <f>SUM(F48:F53)</f>
        <v>12.235624999999999</v>
      </c>
      <c r="G54" s="95" t="s">
        <v>58</v>
      </c>
      <c r="H54" s="18"/>
      <c r="I54" s="111" t="s">
        <v>54</v>
      </c>
      <c r="J54" s="112">
        <f>+$D$46/($F$48+$F$49)</f>
        <v>857.1428571428571</v>
      </c>
      <c r="K54" s="113"/>
      <c r="M54" s="47">
        <v>180</v>
      </c>
      <c r="N54" s="49">
        <v>50</v>
      </c>
      <c r="O54" s="49">
        <f aca="true" t="shared" si="5" ref="O54:O64">N54/100*M54</f>
        <v>90</v>
      </c>
      <c r="P54" s="110">
        <f t="shared" si="1"/>
        <v>67.5</v>
      </c>
      <c r="Q54" s="49">
        <f t="shared" si="2"/>
        <v>60</v>
      </c>
      <c r="R54" s="49">
        <f t="shared" si="3"/>
        <v>30</v>
      </c>
      <c r="S54" s="50">
        <f t="shared" si="4"/>
        <v>17.5</v>
      </c>
      <c r="T54" s="50">
        <f aca="true" t="shared" si="6" ref="T54:T64">P54/(S54*1.36)</f>
        <v>2.8361344537815123</v>
      </c>
      <c r="Z54" s="73"/>
    </row>
    <row r="55" spans="1:26" ht="15.75" customHeight="1">
      <c r="A55" s="17"/>
      <c r="B55" s="114"/>
      <c r="C55" s="115"/>
      <c r="D55" s="116"/>
      <c r="E55" s="116"/>
      <c r="F55" s="117">
        <f>+F54*D25</f>
        <v>16.451260504201677</v>
      </c>
      <c r="G55" s="118" t="s">
        <v>56</v>
      </c>
      <c r="H55" s="18"/>
      <c r="I55" s="111" t="s">
        <v>5</v>
      </c>
      <c r="J55" s="119">
        <f>+$D$46/($D$44*($F$48+$F$49))</f>
        <v>8.571428571428571</v>
      </c>
      <c r="K55" s="120"/>
      <c r="M55" s="47">
        <v>180</v>
      </c>
      <c r="N55" s="49">
        <v>25</v>
      </c>
      <c r="O55" s="49">
        <f t="shared" si="5"/>
        <v>45</v>
      </c>
      <c r="P55" s="110">
        <f t="shared" si="1"/>
        <v>33.75</v>
      </c>
      <c r="Q55" s="49">
        <f t="shared" si="2"/>
        <v>60</v>
      </c>
      <c r="R55" s="49">
        <f t="shared" si="3"/>
        <v>30</v>
      </c>
      <c r="S55" s="50">
        <f t="shared" si="4"/>
        <v>17.5</v>
      </c>
      <c r="T55" s="50">
        <f t="shared" si="6"/>
        <v>1.4180672268907561</v>
      </c>
      <c r="Z55" s="73"/>
    </row>
    <row r="56" spans="1:26" ht="15.75" customHeight="1">
      <c r="A56" s="17"/>
      <c r="B56" s="121"/>
      <c r="C56" s="121"/>
      <c r="D56" s="122"/>
      <c r="E56" s="122"/>
      <c r="F56" s="121"/>
      <c r="G56" s="123"/>
      <c r="H56" s="18"/>
      <c r="I56" s="18"/>
      <c r="J56" s="18"/>
      <c r="K56" s="23"/>
      <c r="M56" s="47">
        <v>150</v>
      </c>
      <c r="N56" s="49">
        <v>75</v>
      </c>
      <c r="O56" s="49">
        <f t="shared" si="5"/>
        <v>112.5</v>
      </c>
      <c r="P56" s="110">
        <f t="shared" si="1"/>
        <v>84.375</v>
      </c>
      <c r="Q56" s="49">
        <f t="shared" si="2"/>
        <v>60</v>
      </c>
      <c r="R56" s="49">
        <f t="shared" si="3"/>
        <v>30</v>
      </c>
      <c r="S56" s="50">
        <f t="shared" si="4"/>
        <v>17.5</v>
      </c>
      <c r="T56" s="50">
        <f t="shared" si="6"/>
        <v>3.5451680672268906</v>
      </c>
      <c r="Z56" s="73"/>
    </row>
    <row r="57" spans="1:26" ht="15.75" customHeight="1">
      <c r="A57" s="17"/>
      <c r="B57" s="179" t="s">
        <v>62</v>
      </c>
      <c r="C57" s="179"/>
      <c r="D57" s="179"/>
      <c r="E57" s="180" t="s">
        <v>120</v>
      </c>
      <c r="F57" s="180"/>
      <c r="G57" s="124"/>
      <c r="H57" s="18"/>
      <c r="I57" s="18"/>
      <c r="J57" s="18"/>
      <c r="K57" s="23"/>
      <c r="M57" s="47">
        <v>150</v>
      </c>
      <c r="N57" s="49">
        <v>50</v>
      </c>
      <c r="O57" s="49">
        <f t="shared" si="5"/>
        <v>75</v>
      </c>
      <c r="P57" s="110">
        <f t="shared" si="1"/>
        <v>56.25</v>
      </c>
      <c r="Q57" s="49">
        <f t="shared" si="2"/>
        <v>60</v>
      </c>
      <c r="R57" s="49">
        <f t="shared" si="3"/>
        <v>30</v>
      </c>
      <c r="S57" s="50">
        <f t="shared" si="4"/>
        <v>17.5</v>
      </c>
      <c r="T57" s="50">
        <f t="shared" si="6"/>
        <v>2.3634453781512605</v>
      </c>
      <c r="Z57" s="73"/>
    </row>
    <row r="58" spans="1:20" ht="15.75" customHeight="1">
      <c r="A58" s="17"/>
      <c r="B58" s="156" t="s">
        <v>107</v>
      </c>
      <c r="C58" s="156"/>
      <c r="D58" s="125" t="s">
        <v>106</v>
      </c>
      <c r="E58" s="126" t="s">
        <v>58</v>
      </c>
      <c r="F58" s="126" t="s">
        <v>56</v>
      </c>
      <c r="G58" s="124"/>
      <c r="H58" s="18"/>
      <c r="I58" s="156" t="s">
        <v>125</v>
      </c>
      <c r="J58" s="156"/>
      <c r="K58" s="23"/>
      <c r="M58" s="47">
        <v>150</v>
      </c>
      <c r="N58" s="49">
        <v>25</v>
      </c>
      <c r="O58" s="49">
        <f t="shared" si="5"/>
        <v>37.5</v>
      </c>
      <c r="P58" s="110">
        <f t="shared" si="1"/>
        <v>28.125</v>
      </c>
      <c r="Q58" s="49">
        <f t="shared" si="2"/>
        <v>60</v>
      </c>
      <c r="R58" s="49">
        <f t="shared" si="3"/>
        <v>30</v>
      </c>
      <c r="S58" s="50">
        <f t="shared" si="4"/>
        <v>17.5</v>
      </c>
      <c r="T58" s="50">
        <f t="shared" si="6"/>
        <v>1.1817226890756303</v>
      </c>
    </row>
    <row r="59" spans="1:20" ht="15.75" customHeight="1">
      <c r="A59" s="17"/>
      <c r="B59" s="31"/>
      <c r="C59" s="31" t="s">
        <v>105</v>
      </c>
      <c r="D59" s="127">
        <f>R43</f>
        <v>14.967058823529412</v>
      </c>
      <c r="E59" s="119">
        <f>IF(AD68=TRUE,D59+D41,D59*0)</f>
        <v>39.52464656450815</v>
      </c>
      <c r="F59" s="128">
        <f>E59*$D$25</f>
        <v>53.14238193547314</v>
      </c>
      <c r="G59" s="129">
        <f>IF(AD68=TRUE,F59,F59*0)</f>
        <v>53.14238193547314</v>
      </c>
      <c r="H59" s="18"/>
      <c r="I59" s="130">
        <v>560</v>
      </c>
      <c r="J59" s="65" t="s">
        <v>126</v>
      </c>
      <c r="K59" s="23"/>
      <c r="M59" s="47">
        <v>120</v>
      </c>
      <c r="N59" s="49">
        <v>75</v>
      </c>
      <c r="O59" s="49">
        <f t="shared" si="5"/>
        <v>90</v>
      </c>
      <c r="P59" s="110">
        <f t="shared" si="1"/>
        <v>67.5</v>
      </c>
      <c r="Q59" s="49">
        <f t="shared" si="2"/>
        <v>60</v>
      </c>
      <c r="R59" s="49">
        <f t="shared" si="3"/>
        <v>30</v>
      </c>
      <c r="S59" s="50">
        <f t="shared" si="4"/>
        <v>17.5</v>
      </c>
      <c r="T59" s="50">
        <f t="shared" si="6"/>
        <v>2.8361344537815123</v>
      </c>
    </row>
    <row r="60" spans="1:20" ht="15.75" customHeight="1">
      <c r="A60" s="17"/>
      <c r="B60" s="31"/>
      <c r="C60" s="31" t="s">
        <v>104</v>
      </c>
      <c r="D60" s="127">
        <f>R44</f>
        <v>10.865882352941176</v>
      </c>
      <c r="E60" s="119">
        <f>IF(AD69=TRUE,D60+D41,D60*0)</f>
        <v>0</v>
      </c>
      <c r="F60" s="128">
        <f>E60*$D$25</f>
        <v>0</v>
      </c>
      <c r="G60" s="129">
        <f>IF(AD69=TRUE,F60,F60*0)</f>
        <v>0</v>
      </c>
      <c r="H60" s="18"/>
      <c r="I60" s="18"/>
      <c r="J60" s="18"/>
      <c r="K60" s="23"/>
      <c r="M60" s="47">
        <v>120</v>
      </c>
      <c r="N60" s="49">
        <v>50</v>
      </c>
      <c r="O60" s="49">
        <f t="shared" si="5"/>
        <v>60</v>
      </c>
      <c r="P60" s="110">
        <f t="shared" si="1"/>
        <v>45</v>
      </c>
      <c r="Q60" s="49">
        <f t="shared" si="2"/>
        <v>60</v>
      </c>
      <c r="R60" s="49">
        <f t="shared" si="3"/>
        <v>30</v>
      </c>
      <c r="S60" s="50">
        <f t="shared" si="4"/>
        <v>17.5</v>
      </c>
      <c r="T60" s="50">
        <f t="shared" si="6"/>
        <v>1.8907563025210083</v>
      </c>
    </row>
    <row r="61" spans="1:20" ht="15.75" customHeight="1">
      <c r="A61" s="17"/>
      <c r="B61" s="18"/>
      <c r="C61" s="131"/>
      <c r="D61" s="21"/>
      <c r="E61" s="19"/>
      <c r="F61" s="132"/>
      <c r="G61" s="124"/>
      <c r="H61" s="18"/>
      <c r="I61" s="18"/>
      <c r="J61" s="18"/>
      <c r="K61" s="23"/>
      <c r="M61" s="47">
        <v>120</v>
      </c>
      <c r="N61" s="49">
        <v>25</v>
      </c>
      <c r="O61" s="49">
        <f t="shared" si="5"/>
        <v>30</v>
      </c>
      <c r="P61" s="110">
        <f t="shared" si="1"/>
        <v>22.5</v>
      </c>
      <c r="Q61" s="49">
        <f t="shared" si="2"/>
        <v>60</v>
      </c>
      <c r="R61" s="49">
        <f t="shared" si="3"/>
        <v>30</v>
      </c>
      <c r="S61" s="50">
        <f t="shared" si="4"/>
        <v>17.5</v>
      </c>
      <c r="T61" s="50">
        <f t="shared" si="6"/>
        <v>0.9453781512605042</v>
      </c>
    </row>
    <row r="62" spans="1:20" ht="15.75" customHeight="1">
      <c r="A62" s="17"/>
      <c r="B62" s="181" t="s">
        <v>121</v>
      </c>
      <c r="C62" s="181"/>
      <c r="D62" s="181"/>
      <c r="E62" s="175" t="s">
        <v>59</v>
      </c>
      <c r="F62" s="175"/>
      <c r="G62" s="124"/>
      <c r="H62" s="18"/>
      <c r="I62" s="18"/>
      <c r="J62" s="18"/>
      <c r="K62" s="23"/>
      <c r="M62" s="47">
        <v>90</v>
      </c>
      <c r="N62" s="49">
        <v>75</v>
      </c>
      <c r="O62" s="49">
        <f t="shared" si="5"/>
        <v>67.5</v>
      </c>
      <c r="P62" s="110">
        <f t="shared" si="1"/>
        <v>50.625</v>
      </c>
      <c r="Q62" s="49">
        <f t="shared" si="2"/>
        <v>60</v>
      </c>
      <c r="R62" s="49">
        <f t="shared" si="3"/>
        <v>30</v>
      </c>
      <c r="S62" s="50">
        <f t="shared" si="4"/>
        <v>17.5</v>
      </c>
      <c r="T62" s="50">
        <f t="shared" si="6"/>
        <v>2.1271008403361344</v>
      </c>
    </row>
    <row r="63" spans="1:20" ht="15.75" customHeight="1">
      <c r="A63" s="17"/>
      <c r="B63" s="156" t="s">
        <v>107</v>
      </c>
      <c r="C63" s="156"/>
      <c r="D63" s="133" t="s">
        <v>61</v>
      </c>
      <c r="E63" s="175" t="s">
        <v>56</v>
      </c>
      <c r="F63" s="175"/>
      <c r="G63" s="129"/>
      <c r="H63" s="18"/>
      <c r="I63" s="18"/>
      <c r="J63" s="18"/>
      <c r="K63" s="23"/>
      <c r="M63" s="47">
        <v>90</v>
      </c>
      <c r="N63" s="49">
        <v>50</v>
      </c>
      <c r="O63" s="49">
        <f t="shared" si="5"/>
        <v>45</v>
      </c>
      <c r="P63" s="110">
        <f t="shared" si="1"/>
        <v>33.75</v>
      </c>
      <c r="Q63" s="49">
        <f t="shared" si="2"/>
        <v>60</v>
      </c>
      <c r="R63" s="49">
        <f t="shared" si="3"/>
        <v>30</v>
      </c>
      <c r="S63" s="50">
        <f t="shared" si="4"/>
        <v>17.5</v>
      </c>
      <c r="T63" s="50">
        <f t="shared" si="6"/>
        <v>1.4180672268907561</v>
      </c>
    </row>
    <row r="64" spans="1:20" ht="15.75" customHeight="1">
      <c r="A64" s="17"/>
      <c r="B64" s="31"/>
      <c r="C64" s="134" t="str">
        <f>IF(D44=J48,"Baja","Alta")</f>
        <v>Baja</v>
      </c>
      <c r="D64" s="135">
        <f>D44*D26</f>
        <v>74.375</v>
      </c>
      <c r="E64" s="178">
        <f>+F55+$G$59+$G$60</f>
        <v>69.59364243967482</v>
      </c>
      <c r="F64" s="178" t="e">
        <f>$D$25*($D$46/$D$48)+$D$46/($D$49*D64*$D$25)+(($D$46*0.006*$D$50)/(D64*$D$25))+$D$46*($D$51+$D$52)/(100*D64*$D$25)+($D$53/$D$25)+#REF!</f>
        <v>#REF!</v>
      </c>
      <c r="G64" s="129"/>
      <c r="H64" s="18"/>
      <c r="I64" s="18"/>
      <c r="J64" s="18"/>
      <c r="K64" s="23"/>
      <c r="M64" s="47">
        <v>90</v>
      </c>
      <c r="N64" s="49">
        <v>25</v>
      </c>
      <c r="O64" s="49">
        <f t="shared" si="5"/>
        <v>22.5</v>
      </c>
      <c r="P64" s="110">
        <f t="shared" si="1"/>
        <v>16.875</v>
      </c>
      <c r="Q64" s="49">
        <f t="shared" si="2"/>
        <v>60</v>
      </c>
      <c r="R64" s="49">
        <f t="shared" si="3"/>
        <v>30</v>
      </c>
      <c r="S64" s="50">
        <f t="shared" si="4"/>
        <v>17.5</v>
      </c>
      <c r="T64" s="50">
        <f t="shared" si="6"/>
        <v>0.7090336134453781</v>
      </c>
    </row>
    <row r="65" spans="1:11" ht="15.75" customHeight="1">
      <c r="A65" s="17"/>
      <c r="B65" s="18"/>
      <c r="C65" s="18"/>
      <c r="D65" s="136"/>
      <c r="E65" s="137"/>
      <c r="F65" s="137"/>
      <c r="G65" s="27"/>
      <c r="H65" s="18"/>
      <c r="I65" s="18"/>
      <c r="J65" s="18"/>
      <c r="K65" s="23"/>
    </row>
    <row r="66" spans="1:11" ht="15.75" customHeight="1">
      <c r="A66" s="17"/>
      <c r="B66" s="18"/>
      <c r="C66" s="18"/>
      <c r="D66" s="21"/>
      <c r="E66" s="21"/>
      <c r="F66" s="138"/>
      <c r="G66" s="27"/>
      <c r="H66" s="18"/>
      <c r="I66" s="18"/>
      <c r="J66" s="18"/>
      <c r="K66" s="23"/>
    </row>
    <row r="67" spans="1:11" ht="15.75" customHeight="1">
      <c r="A67" s="139"/>
      <c r="B67" s="140"/>
      <c r="C67" s="140"/>
      <c r="D67" s="141"/>
      <c r="E67" s="141"/>
      <c r="F67" s="140"/>
      <c r="G67" s="142"/>
      <c r="H67" s="143"/>
      <c r="I67" s="143"/>
      <c r="J67" s="143"/>
      <c r="K67" s="144"/>
    </row>
    <row r="68" spans="4:30" ht="15.75" customHeight="1">
      <c r="D68" s="145"/>
      <c r="G68" s="146"/>
      <c r="H68" s="9"/>
      <c r="I68" s="9"/>
      <c r="J68" s="9"/>
      <c r="K68" s="147"/>
      <c r="AD68" s="11" t="b">
        <v>1</v>
      </c>
    </row>
    <row r="69" spans="3:30" ht="15.75" customHeight="1">
      <c r="C69" s="148"/>
      <c r="D69" s="145"/>
      <c r="E69" s="149"/>
      <c r="F69" s="150"/>
      <c r="G69" s="146"/>
      <c r="H69" s="9"/>
      <c r="I69" s="9"/>
      <c r="J69" s="9"/>
      <c r="K69" s="147"/>
      <c r="AD69" s="11" t="b">
        <v>0</v>
      </c>
    </row>
    <row r="70" spans="4:11" ht="15.75" customHeight="1">
      <c r="D70" s="145"/>
      <c r="E70" s="149"/>
      <c r="F70" s="150"/>
      <c r="G70" s="151"/>
      <c r="H70" s="9"/>
      <c r="I70" s="9"/>
      <c r="J70" s="9"/>
      <c r="K70" s="147"/>
    </row>
    <row r="71" spans="7:10" ht="15.75" customHeight="1">
      <c r="G71" s="151"/>
      <c r="H71" s="9"/>
      <c r="I71" s="9"/>
      <c r="J71" s="9"/>
    </row>
    <row r="72" spans="8:10" ht="15.75" customHeight="1">
      <c r="H72" s="9"/>
      <c r="I72" s="9"/>
      <c r="J72" s="9"/>
    </row>
    <row r="73" ht="15.75" customHeight="1">
      <c r="AD73" s="11" t="b">
        <v>1</v>
      </c>
    </row>
    <row r="74" ht="15.75" customHeight="1">
      <c r="AD74" s="11" t="b">
        <v>0</v>
      </c>
    </row>
    <row r="75" ht="15.75" customHeight="1"/>
    <row r="76" ht="15.75" customHeight="1"/>
    <row r="77" ht="15.75" customHeight="1"/>
    <row r="78" ht="15.75" customHeight="1"/>
  </sheetData>
  <sheetProtection/>
  <mergeCells count="62">
    <mergeCell ref="E64:F64"/>
    <mergeCell ref="B57:D57"/>
    <mergeCell ref="E57:F57"/>
    <mergeCell ref="B58:C58"/>
    <mergeCell ref="B62:D62"/>
    <mergeCell ref="E62:F62"/>
    <mergeCell ref="M9:N9"/>
    <mergeCell ref="B63:C63"/>
    <mergeCell ref="E63:F63"/>
    <mergeCell ref="I53:J53"/>
    <mergeCell ref="I35:J35"/>
    <mergeCell ref="I30:J30"/>
    <mergeCell ref="I41:J41"/>
    <mergeCell ref="M30:M32"/>
    <mergeCell ref="B18:C18"/>
    <mergeCell ref="B19:C19"/>
    <mergeCell ref="B32:C32"/>
    <mergeCell ref="B34:C34"/>
    <mergeCell ref="T51:T52"/>
    <mergeCell ref="M51:M52"/>
    <mergeCell ref="N51:N52"/>
    <mergeCell ref="O51:O52"/>
    <mergeCell ref="S51:S52"/>
    <mergeCell ref="R51:R52"/>
    <mergeCell ref="Q51:Q52"/>
    <mergeCell ref="P51:P52"/>
    <mergeCell ref="B24:C24"/>
    <mergeCell ref="B23:C23"/>
    <mergeCell ref="B53:C53"/>
    <mergeCell ref="B28:C28"/>
    <mergeCell ref="B50:C50"/>
    <mergeCell ref="B37:C37"/>
    <mergeCell ref="B51:C51"/>
    <mergeCell ref="B39:C39"/>
    <mergeCell ref="B49:C49"/>
    <mergeCell ref="B48:C48"/>
    <mergeCell ref="B35:C35"/>
    <mergeCell ref="M39:M40"/>
    <mergeCell ref="M41:M42"/>
    <mergeCell ref="M43:M44"/>
    <mergeCell ref="M38:O38"/>
    <mergeCell ref="B21:C21"/>
    <mergeCell ref="B43:C43"/>
    <mergeCell ref="B44:C44"/>
    <mergeCell ref="B31:C31"/>
    <mergeCell ref="B29:C29"/>
    <mergeCell ref="I58:J58"/>
    <mergeCell ref="B52:C52"/>
    <mergeCell ref="B25:C25"/>
    <mergeCell ref="B46:C46"/>
    <mergeCell ref="B17:C17"/>
    <mergeCell ref="B12:C12"/>
    <mergeCell ref="B13:C13"/>
    <mergeCell ref="B14:C14"/>
    <mergeCell ref="B16:C16"/>
    <mergeCell ref="I47:J47"/>
    <mergeCell ref="Q40:R41"/>
    <mergeCell ref="M19:P20"/>
    <mergeCell ref="I17:J17"/>
    <mergeCell ref="I21:J21"/>
    <mergeCell ref="I25:J25"/>
    <mergeCell ref="M34:R35"/>
  </mergeCells>
  <conditionalFormatting sqref="J36:J39">
    <cfRule type="cellIs" priority="1" dxfId="0" operator="equal" stopIfTrue="1">
      <formula>$D$32</formula>
    </cfRule>
  </conditionalFormatting>
  <conditionalFormatting sqref="J26:J28">
    <cfRule type="cellIs" priority="2" dxfId="0" operator="equal" stopIfTrue="1">
      <formula>$D$24</formula>
    </cfRule>
  </conditionalFormatting>
  <conditionalFormatting sqref="J22:J23">
    <cfRule type="cellIs" priority="3" dxfId="0" operator="equal" stopIfTrue="1">
      <formula>$D$13</formula>
    </cfRule>
  </conditionalFormatting>
  <conditionalFormatting sqref="J13:J15">
    <cfRule type="cellIs" priority="4" dxfId="0" operator="equal" stopIfTrue="1">
      <formula>$D$16</formula>
    </cfRule>
  </conditionalFormatting>
  <conditionalFormatting sqref="J18:J19">
    <cfRule type="cellIs" priority="5" dxfId="0" operator="equal" stopIfTrue="1">
      <formula>$D$12</formula>
    </cfRule>
  </conditionalFormatting>
  <conditionalFormatting sqref="J31:J33">
    <cfRule type="cellIs" priority="6" dxfId="0" operator="equal" stopIfTrue="1">
      <formula>$D$28</formula>
    </cfRule>
  </conditionalFormatting>
  <conditionalFormatting sqref="J43">
    <cfRule type="expression" priority="7" dxfId="0" stopIfTrue="1">
      <formula>$D$28=25</formula>
    </cfRule>
  </conditionalFormatting>
  <conditionalFormatting sqref="J45">
    <cfRule type="expression" priority="8" dxfId="0" stopIfTrue="1">
      <formula>$D$28=75</formula>
    </cfRule>
  </conditionalFormatting>
  <conditionalFormatting sqref="J44">
    <cfRule type="expression" priority="9" dxfId="0" stopIfTrue="1">
      <formula>$D$28=50</formula>
    </cfRule>
  </conditionalFormatting>
  <conditionalFormatting sqref="C59">
    <cfRule type="expression" priority="10" dxfId="0" stopIfTrue="1">
      <formula>$G$59&gt;0</formula>
    </cfRule>
  </conditionalFormatting>
  <conditionalFormatting sqref="C60">
    <cfRule type="expression" priority="11" dxfId="0" stopIfTrue="1">
      <formula>$G$60&gt;0</formula>
    </cfRule>
  </conditionalFormatting>
  <conditionalFormatting sqref="C65">
    <cfRule type="expression" priority="12" dxfId="0" stopIfTrue="1">
      <formula>#REF!&gt;0</formula>
    </cfRule>
  </conditionalFormatting>
  <conditionalFormatting sqref="C64">
    <cfRule type="expression" priority="13" dxfId="0" stopIfTrue="1">
      <formula>$E$67&gt;0</formula>
    </cfRule>
  </conditionalFormatting>
  <conditionalFormatting sqref="J48:J49">
    <cfRule type="cellIs" priority="14" dxfId="0" operator="equal" stopIfTrue="1">
      <formula>$D$44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9.7109375" style="2" customWidth="1"/>
  </cols>
  <sheetData>
    <row r="1" s="1" customFormat="1" ht="79.5" customHeight="1">
      <c r="A1" s="3"/>
    </row>
    <row r="2" spans="1:19" ht="25.5" customHeight="1">
      <c r="A2" s="4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5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5" t="s">
        <v>127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5" t="s">
        <v>128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5" t="s">
        <v>129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8.5" customHeight="1">
      <c r="A8" s="5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8.5" customHeight="1">
      <c r="A9" s="5" t="s">
        <v>131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8.5" customHeight="1">
      <c r="A10" s="5" t="s">
        <v>132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8.5" customHeight="1">
      <c r="A11" s="5" t="s">
        <v>133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42.75" customHeight="1">
      <c r="A12" s="5" t="s">
        <v>134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2.75" customHeight="1">
      <c r="A13" s="5" t="s">
        <v>135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8.5" customHeight="1">
      <c r="A14" s="5" t="s">
        <v>136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8.5" customHeight="1">
      <c r="A15" s="5" t="s">
        <v>137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5" t="s">
        <v>123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5" t="s">
        <v>146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8.5" customHeight="1">
      <c r="A19" s="5" t="s">
        <v>138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5" t="s">
        <v>139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5" t="s">
        <v>140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5" t="s">
        <v>141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5" t="s">
        <v>147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5" t="s">
        <v>142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5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5" t="s">
        <v>144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8.5" customHeight="1">
      <c r="A27" s="5" t="s">
        <v>145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8.5" customHeight="1">
      <c r="A28" s="5" t="s">
        <v>124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LM</cp:lastModifiedBy>
  <cp:lastPrinted>2008-09-11T08:05:34Z</cp:lastPrinted>
  <dcterms:created xsi:type="dcterms:W3CDTF">2006-04-04T09:19:27Z</dcterms:created>
  <dcterms:modified xsi:type="dcterms:W3CDTF">2014-06-27T07:46:40Z</dcterms:modified>
  <cp:category/>
  <cp:version/>
  <cp:contentType/>
  <cp:contentStatus/>
</cp:coreProperties>
</file>