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Semb. chorrillo" sheetId="1" r:id="rId1"/>
    <sheet name="Metodología" sheetId="2" r:id="rId2"/>
  </sheets>
  <definedNames>
    <definedName name="_xlnm.Print_Area" localSheetId="1">'Metodología'!$A$1:$A$33</definedName>
    <definedName name="_xlnm.Print_Area" localSheetId="0">'Semb. chorrillo'!$A$1:$K$64</definedName>
  </definedNames>
  <calcPr fullCalcOnLoad="1"/>
</workbook>
</file>

<file path=xl/sharedStrings.xml><?xml version="1.0" encoding="utf-8"?>
<sst xmlns="http://schemas.openxmlformats.org/spreadsheetml/2006/main" count="177" uniqueCount="136">
  <si>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</si>
  <si>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</si>
  <si>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</si>
  <si>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</si>
  <si>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</si>
  <si>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</si>
  <si>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</si>
  <si>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</si>
  <si>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</si>
  <si>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</si>
  <si>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</si>
  <si>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</si>
  <si>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</si>
  <si>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</si>
  <si>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</si>
  <si>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</si>
  <si>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</si>
  <si>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</si>
  <si>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</si>
  <si>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</si>
  <si>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</si>
  <si>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</si>
  <si>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</si>
  <si>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</si>
  <si>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</si>
  <si>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</si>
  <si>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</si>
  <si>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</si>
  <si>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</si>
  <si>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</si>
  <si>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</si>
  <si>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</si>
  <si>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</si>
  <si>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</si>
  <si>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</si>
  <si>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</si>
  <si>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</si>
  <si>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</si>
  <si>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</si>
  <si>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</si>
  <si>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</si>
  <si>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</si>
  <si>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</si>
  <si>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</si>
  <si>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</si>
  <si>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</si>
  <si>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</si>
  <si>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</si>
  <si>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</si>
  <si>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</si>
  <si>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</si>
  <si>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</si>
  <si>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</si>
  <si>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</si>
  <si>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</si>
  <si>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</si>
  <si>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</si>
  <si>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</si>
  <si>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Siembra</t>
  </si>
  <si>
    <t>Sembradora a chorrillo</t>
  </si>
  <si>
    <t>Anchura apero (m)</t>
  </si>
  <si>
    <t>Nivel de carga del tractor</t>
  </si>
  <si>
    <t>Pequeño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</si>
  <si>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</si>
  <si>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</si>
  <si>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</si>
  <si>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</si>
  <si>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</si>
  <si>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</si>
  <si>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</si>
  <si>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</si>
  <si>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ASAE pneumatic drill</t>
  </si>
  <si>
    <t>Capacidad trabajo teórica</t>
  </si>
  <si>
    <t>Capacidad trabajo real</t>
  </si>
  <si>
    <t>P (kW)</t>
  </si>
  <si>
    <t>Factor (L/h-kW)</t>
  </si>
  <si>
    <t>ancho (m)</t>
  </si>
  <si>
    <t>F(daN)</t>
  </si>
  <si>
    <t>4 L/ha</t>
  </si>
  <si>
    <t>7 L/ha</t>
  </si>
  <si>
    <t>pot tractor CV</t>
  </si>
  <si>
    <t>nivel carga %</t>
  </si>
  <si>
    <t>pot utilizada</t>
  </si>
  <si>
    <t>v (km/h)</t>
  </si>
  <si>
    <t>Pot. (kW)</t>
  </si>
  <si>
    <t>Anchura (m)</t>
  </si>
  <si>
    <t>Pot neces (kW/m)</t>
  </si>
  <si>
    <t>Anchura máx</t>
  </si>
  <si>
    <t>Pot (kW/m)</t>
  </si>
  <si>
    <t>Pot a la barra i/rod+desliz</t>
  </si>
  <si>
    <t>P barra i/rod+desliz</t>
  </si>
  <si>
    <t>Potencia tracción = Pot. demandada por cultivador de igual anchura trabajando a 10 cm de profundidad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</si>
  <si>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</si>
  <si>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</si>
  <si>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</si>
  <si>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</si>
  <si>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</si>
  <si>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</si>
  <si>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</si>
  <si>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</si>
  <si>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kg/m</t>
  </si>
  <si>
    <t>€/m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</si>
  <si>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</si>
  <si>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</si>
  <si>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</si>
  <si>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</si>
  <si>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</si>
  <si>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</si>
  <si>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</si>
  <si>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</si>
  <si>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</si>
  <si>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</si>
  <si>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Siembra con sembradora a chorrillo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</si>
  <si>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</si>
  <si>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</si>
  <si>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</si>
  <si>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</si>
  <si>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</si>
  <si>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-          Peso del apero: Estimado en 270 kg/m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</si>
  <si>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</si>
  <si>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</si>
  <si>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>-          Velocidad de trabajo: Es un valor tomado de las velocidades recomendadas de trabajo.</t>
  </si>
  <si>
    <t>-          Potencia de tracción: Se considera equivalente a la de un cultivador de igual anchura trabajando 10 cm de profundidad.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</si>
  <si>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</si>
  <si>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</si>
  <si>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</si>
  <si>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Precio de adquisición: Estimado en 3.000 €/m</t>
  </si>
  <si>
    <t>-          Amortización por desgaste: 1.200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</si>
  <si>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</si>
  <si>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</si>
  <si>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</si>
  <si>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0,45 €/ha</t>
  </si>
  <si>
    <t>-          Utilización anual tractor auxiliar: Se han estimado dos rangos diferentes de trabajo, 500 y 1.000 h/año.</t>
  </si>
  <si>
    <t>-          Anchura de trabajo del apero: alta (6 m) y baja (3 m)</t>
  </si>
  <si>
    <t>-          Coste de combustible: 1,00 €/L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</si>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</sst>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22"/>
      <name val="Arial"/>
      <family val="0"/>
    </font>
    <font>
      <sz val="11"/>
      <color indexed="42"/>
      <name val="Arial"/>
      <family val="0"/>
    </font>
    <font>
      <b/>
      <sz val="11"/>
      <color indexed="42"/>
      <name val="Arial"/>
      <family val="0"/>
    </font>
    <font>
      <sz val="11"/>
      <color indexed="12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color indexed="9"/>
      <name val="Arial"/>
      <family val="0"/>
    </font>
    <font>
      <sz val="10"/>
      <color indexed="9"/>
      <name val="Arial"/>
      <family val="0"/>
    </font>
    <font>
      <b/>
      <u val="single"/>
      <sz val="11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5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34" borderId="11" xfId="0" applyNumberFormat="1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2" fontId="11" fillId="34" borderId="0" xfId="0" applyNumberFormat="1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65" fontId="4" fillId="34" borderId="0" xfId="0" applyNumberFormat="1" applyFont="1" applyFill="1" applyBorder="1" applyAlignment="1" applyProtection="1">
      <alignment horizontal="center"/>
      <protection hidden="1"/>
    </xf>
    <xf numFmtId="164" fontId="11" fillId="34" borderId="0" xfId="0" applyNumberFormat="1" applyFont="1" applyFill="1" applyBorder="1" applyAlignment="1" applyProtection="1">
      <alignment horizontal="center"/>
      <protection hidden="1"/>
    </xf>
    <xf numFmtId="0" fontId="10" fillId="34" borderId="15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1" fillId="34" borderId="16" xfId="0" applyNumberFormat="1" applyFont="1" applyFill="1" applyBorder="1" applyAlignment="1" applyProtection="1">
      <alignment horizontal="center"/>
      <protection hidden="1"/>
    </xf>
    <xf numFmtId="0" fontId="10" fillId="34" borderId="17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3" fontId="9" fillId="34" borderId="0" xfId="0" applyNumberFormat="1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10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2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65" fontId="4" fillId="33" borderId="14" xfId="0" applyNumberFormat="1" applyFont="1" applyFill="1" applyBorder="1" applyAlignment="1" applyProtection="1">
      <alignment horizontal="center"/>
      <protection/>
    </xf>
    <xf numFmtId="3" fontId="4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center"/>
      <protection hidden="1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4" fillId="35" borderId="19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165" fontId="4" fillId="0" borderId="22" xfId="0" applyNumberFormat="1" applyFont="1" applyBorder="1" applyAlignment="1" applyProtection="1">
      <alignment horizontal="center"/>
      <protection/>
    </xf>
    <xf numFmtId="3" fontId="9" fillId="0" borderId="22" xfId="0" applyNumberFormat="1" applyFont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2" fontId="4" fillId="34" borderId="16" xfId="0" applyNumberFormat="1" applyFont="1" applyFill="1" applyBorder="1" applyAlignment="1" applyProtection="1">
      <alignment horizontal="center"/>
      <protection hidden="1"/>
    </xf>
    <xf numFmtId="0" fontId="5" fillId="34" borderId="17" xfId="0" applyFont="1" applyFill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 hidden="1"/>
    </xf>
    <xf numFmtId="164" fontId="5" fillId="0" borderId="22" xfId="0" applyNumberFormat="1" applyFont="1" applyBorder="1" applyAlignment="1" applyProtection="1">
      <alignment horizontal="center"/>
      <protection hidden="1"/>
    </xf>
    <xf numFmtId="0" fontId="4" fillId="0" borderId="22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2" fontId="4" fillId="0" borderId="22" xfId="0" applyNumberFormat="1" applyFont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/>
      <protection hidden="1"/>
    </xf>
    <xf numFmtId="2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center" vertical="center" wrapText="1"/>
    </xf>
    <xf numFmtId="0" fontId="4" fillId="36" borderId="22" xfId="0" applyFont="1" applyFill="1" applyBorder="1" applyAlignment="1" applyProtection="1">
      <alignment/>
      <protection hidden="1"/>
    </xf>
    <xf numFmtId="0" fontId="0" fillId="34" borderId="0" xfId="0" applyFill="1" applyAlignment="1">
      <alignment/>
    </xf>
    <xf numFmtId="2" fontId="9" fillId="34" borderId="23" xfId="0" applyNumberFormat="1" applyFont="1" applyFill="1" applyBorder="1" applyAlignment="1" applyProtection="1">
      <alignment horizontal="center"/>
      <protection hidden="1" locked="0"/>
    </xf>
    <xf numFmtId="3" fontId="9" fillId="34" borderId="0" xfId="0" applyNumberFormat="1" applyFont="1" applyFill="1" applyBorder="1" applyAlignment="1" applyProtection="1">
      <alignment horizontal="center"/>
      <protection hidden="1" locked="0"/>
    </xf>
    <xf numFmtId="0" fontId="9" fillId="34" borderId="0" xfId="0" applyFont="1" applyFill="1" applyBorder="1" applyAlignment="1" applyProtection="1">
      <alignment horizontal="center"/>
      <protection hidden="1" locked="0"/>
    </xf>
    <xf numFmtId="2" fontId="9" fillId="34" borderId="16" xfId="0" applyNumberFormat="1" applyFont="1" applyFill="1" applyBorder="1" applyAlignment="1" applyProtection="1">
      <alignment horizontal="center"/>
      <protection hidden="1" locked="0"/>
    </xf>
    <xf numFmtId="0" fontId="0" fillId="34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9" fillId="0" borderId="22" xfId="0" applyFont="1" applyBorder="1" applyAlignment="1">
      <alignment horizontal="right"/>
    </xf>
    <xf numFmtId="0" fontId="13" fillId="33" borderId="0" xfId="0" applyFont="1" applyFill="1" applyAlignment="1">
      <alignment horizontal="justify" wrapText="1"/>
    </xf>
    <xf numFmtId="49" fontId="13" fillId="33" borderId="0" xfId="0" applyNumberFormat="1" applyFont="1" applyFill="1" applyAlignment="1">
      <alignment horizontal="justify" wrapText="1"/>
    </xf>
    <xf numFmtId="49" fontId="14" fillId="33" borderId="0" xfId="0" applyNumberFormat="1" applyFont="1" applyFill="1" applyAlignment="1">
      <alignment horizontal="justify" wrapText="1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0" borderId="22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2" fontId="12" fillId="37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left"/>
    </xf>
    <xf numFmtId="0" fontId="4" fillId="0" borderId="22" xfId="0" applyFont="1" applyFill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7.emf" /><Relationship Id="rId13" Type="http://schemas.openxmlformats.org/officeDocument/2006/relationships/image" Target="../media/image6.emf" /><Relationship Id="rId14" Type="http://schemas.openxmlformats.org/officeDocument/2006/relationships/image" Target="../media/image14.emf" /><Relationship Id="rId15" Type="http://schemas.openxmlformats.org/officeDocument/2006/relationships/image" Target="../media/image16.emf" /><Relationship Id="rId16" Type="http://schemas.openxmlformats.org/officeDocument/2006/relationships/image" Target="../media/image3.emf" /><Relationship Id="rId17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16</xdr:row>
      <xdr:rowOff>28575</xdr:rowOff>
    </xdr:from>
    <xdr:to>
      <xdr:col>7</xdr:col>
      <xdr:colOff>266700</xdr:colOff>
      <xdr:row>17</xdr:row>
      <xdr:rowOff>9525</xdr:rowOff>
    </xdr:to>
    <xdr:pic>
      <xdr:nvPicPr>
        <xdr:cNvPr id="2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67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17</xdr:row>
      <xdr:rowOff>38100</xdr:rowOff>
    </xdr:from>
    <xdr:to>
      <xdr:col>7</xdr:col>
      <xdr:colOff>266700</xdr:colOff>
      <xdr:row>18</xdr:row>
      <xdr:rowOff>19050</xdr:rowOff>
    </xdr:to>
    <xdr:pic>
      <xdr:nvPicPr>
        <xdr:cNvPr id="3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307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18</xdr:row>
      <xdr:rowOff>28575</xdr:rowOff>
    </xdr:from>
    <xdr:to>
      <xdr:col>7</xdr:col>
      <xdr:colOff>266700</xdr:colOff>
      <xdr:row>19</xdr:row>
      <xdr:rowOff>9525</xdr:rowOff>
    </xdr:to>
    <xdr:pic>
      <xdr:nvPicPr>
        <xdr:cNvPr id="4" name="Optio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32670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21</xdr:row>
      <xdr:rowOff>19050</xdr:rowOff>
    </xdr:from>
    <xdr:to>
      <xdr:col>7</xdr:col>
      <xdr:colOff>257175</xdr:colOff>
      <xdr:row>22</xdr:row>
      <xdr:rowOff>0</xdr:rowOff>
    </xdr:to>
    <xdr:pic>
      <xdr:nvPicPr>
        <xdr:cNvPr id="5" name="OptionButton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3857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22</xdr:row>
      <xdr:rowOff>0</xdr:rowOff>
    </xdr:from>
    <xdr:to>
      <xdr:col>7</xdr:col>
      <xdr:colOff>257175</xdr:colOff>
      <xdr:row>22</xdr:row>
      <xdr:rowOff>142875</xdr:rowOff>
    </xdr:to>
    <xdr:pic>
      <xdr:nvPicPr>
        <xdr:cNvPr id="6" name="OptionButton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4038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9525</xdr:rowOff>
    </xdr:from>
    <xdr:to>
      <xdr:col>7</xdr:col>
      <xdr:colOff>247650</xdr:colOff>
      <xdr:row>23</xdr:row>
      <xdr:rowOff>152400</xdr:rowOff>
    </xdr:to>
    <xdr:pic>
      <xdr:nvPicPr>
        <xdr:cNvPr id="7" name="OptionButton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38100</xdr:rowOff>
    </xdr:from>
    <xdr:to>
      <xdr:col>7</xdr:col>
      <xdr:colOff>276225</xdr:colOff>
      <xdr:row>13</xdr:row>
      <xdr:rowOff>19050</xdr:rowOff>
    </xdr:to>
    <xdr:pic>
      <xdr:nvPicPr>
        <xdr:cNvPr id="8" name="OptionButton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20764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28575</xdr:rowOff>
    </xdr:from>
    <xdr:to>
      <xdr:col>7</xdr:col>
      <xdr:colOff>266700</xdr:colOff>
      <xdr:row>14</xdr:row>
      <xdr:rowOff>9525</xdr:rowOff>
    </xdr:to>
    <xdr:pic>
      <xdr:nvPicPr>
        <xdr:cNvPr id="9" name="OptionButton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266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26</xdr:row>
      <xdr:rowOff>28575</xdr:rowOff>
    </xdr:from>
    <xdr:to>
      <xdr:col>7</xdr:col>
      <xdr:colOff>257175</xdr:colOff>
      <xdr:row>27</xdr:row>
      <xdr:rowOff>9525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43425" y="4867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28575</xdr:rowOff>
    </xdr:from>
    <xdr:to>
      <xdr:col>7</xdr:col>
      <xdr:colOff>257175</xdr:colOff>
      <xdr:row>28</xdr:row>
      <xdr:rowOff>9525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43425" y="5067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28</xdr:row>
      <xdr:rowOff>28575</xdr:rowOff>
    </xdr:from>
    <xdr:to>
      <xdr:col>7</xdr:col>
      <xdr:colOff>257175</xdr:colOff>
      <xdr:row>29</xdr:row>
      <xdr:rowOff>9525</xdr:rowOff>
    </xdr:to>
    <xdr:pic>
      <xdr:nvPicPr>
        <xdr:cNvPr id="12" name="Option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43425" y="5267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29</xdr:row>
      <xdr:rowOff>28575</xdr:rowOff>
    </xdr:from>
    <xdr:to>
      <xdr:col>7</xdr:col>
      <xdr:colOff>257175</xdr:colOff>
      <xdr:row>30</xdr:row>
      <xdr:rowOff>9525</xdr:rowOff>
    </xdr:to>
    <xdr:pic>
      <xdr:nvPicPr>
        <xdr:cNvPr id="13" name="OptionButton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43425" y="5467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55</xdr:row>
      <xdr:rowOff>9525</xdr:rowOff>
    </xdr:from>
    <xdr:to>
      <xdr:col>1</xdr:col>
      <xdr:colOff>247650</xdr:colOff>
      <xdr:row>55</xdr:row>
      <xdr:rowOff>152400</xdr:rowOff>
    </xdr:to>
    <xdr:pic>
      <xdr:nvPicPr>
        <xdr:cNvPr id="14" name="OptionButton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10648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56</xdr:row>
      <xdr:rowOff>9525</xdr:rowOff>
    </xdr:from>
    <xdr:to>
      <xdr:col>1</xdr:col>
      <xdr:colOff>247650</xdr:colOff>
      <xdr:row>56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10848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39</xdr:row>
      <xdr:rowOff>19050</xdr:rowOff>
    </xdr:from>
    <xdr:to>
      <xdr:col>7</xdr:col>
      <xdr:colOff>238125</xdr:colOff>
      <xdr:row>40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24375" y="7458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38100</xdr:rowOff>
    </xdr:from>
    <xdr:to>
      <xdr:col>7</xdr:col>
      <xdr:colOff>238125</xdr:colOff>
      <xdr:row>41</xdr:row>
      <xdr:rowOff>9525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7677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5305425</xdr:colOff>
      <xdr:row>6</xdr:row>
      <xdr:rowOff>85725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AG73"/>
  <sheetViews>
    <sheetView showZeros="0" tabSelected="1" zoomScalePageLayoutView="0" workbookViewId="0" topLeftCell="A1">
      <selection activeCell="A8" sqref="A8"/>
    </sheetView>
  </sheetViews>
  <sheetFormatPr defaultColWidth="11.421875" defaultRowHeight="12.75"/>
  <cols>
    <col min="1" max="1" width="2.8515625" style="6" customWidth="1"/>
    <col min="2" max="2" width="5.421875" style="6" customWidth="1"/>
    <col min="3" max="3" width="25.8515625" style="6" customWidth="1"/>
    <col min="4" max="4" width="12.140625" style="68" customWidth="1"/>
    <col min="5" max="5" width="6.57421875" style="68" customWidth="1"/>
    <col min="6" max="6" width="7.00390625" style="6" customWidth="1"/>
    <col min="7" max="7" width="6.57421875" style="69" customWidth="1"/>
    <col min="8" max="8" width="4.140625" style="6" customWidth="1"/>
    <col min="9" max="9" width="10.7109375" style="6" customWidth="1"/>
    <col min="10" max="10" width="19.28125" style="6" customWidth="1"/>
    <col min="11" max="12" width="5.7109375" style="18" customWidth="1"/>
    <col min="13" max="13" width="15.7109375" style="137" customWidth="1"/>
    <col min="14" max="14" width="10.28125" style="137" customWidth="1"/>
    <col min="15" max="15" width="8.140625" style="137" customWidth="1"/>
    <col min="16" max="16" width="10.421875" style="137" customWidth="1"/>
    <col min="17" max="17" width="7.140625" style="137" customWidth="1"/>
    <col min="18" max="18" width="10.421875" style="137" customWidth="1"/>
    <col min="19" max="19" width="9.57421875" style="137" customWidth="1"/>
    <col min="20" max="20" width="11.421875" style="137" customWidth="1"/>
    <col min="21" max="21" width="18.140625" style="137" customWidth="1"/>
    <col min="22" max="26" width="6.57421875" style="137" customWidth="1"/>
    <col min="27" max="29" width="11.421875" style="137" customWidth="1"/>
    <col min="30" max="30" width="11.421875" style="141" customWidth="1"/>
    <col min="31" max="48" width="11.421875" style="142" customWidth="1"/>
  </cols>
  <sheetData>
    <row r="1" ht="14.25"/>
    <row r="2" ht="14.25"/>
    <row r="3" ht="13.5" customHeight="1"/>
    <row r="4" ht="12" customHeight="1"/>
    <row r="5" ht="14.25"/>
    <row r="6" ht="9" customHeight="1"/>
    <row r="7" ht="12" customHeight="1"/>
    <row r="8" spans="1:11" ht="14.25">
      <c r="A8" s="1"/>
      <c r="B8" s="2"/>
      <c r="C8" s="2"/>
      <c r="D8" s="3"/>
      <c r="E8" s="3"/>
      <c r="F8" s="2"/>
      <c r="G8" s="2"/>
      <c r="H8" s="4"/>
      <c r="I8" s="2"/>
      <c r="J8" s="2"/>
      <c r="K8" s="5"/>
    </row>
    <row r="9" spans="1:14" ht="12.75" customHeight="1">
      <c r="A9" s="7"/>
      <c r="B9" s="8"/>
      <c r="C9" s="9" t="s">
        <v>0</v>
      </c>
      <c r="D9" s="10" t="s">
        <v>58</v>
      </c>
      <c r="E9" s="11"/>
      <c r="F9" s="12"/>
      <c r="G9" s="12"/>
      <c r="H9" s="13"/>
      <c r="I9" s="8"/>
      <c r="J9" s="8"/>
      <c r="K9" s="14"/>
      <c r="M9" s="175" t="s">
        <v>99</v>
      </c>
      <c r="N9" s="176"/>
    </row>
    <row r="10" spans="1:11" ht="12.75" customHeight="1">
      <c r="A10" s="7"/>
      <c r="B10" s="8"/>
      <c r="C10" s="9" t="s">
        <v>2</v>
      </c>
      <c r="D10" s="15" t="s">
        <v>59</v>
      </c>
      <c r="E10" s="16"/>
      <c r="F10" s="16"/>
      <c r="G10" s="17"/>
      <c r="H10" s="8"/>
      <c r="I10" s="8"/>
      <c r="J10" s="8"/>
      <c r="K10" s="84"/>
    </row>
    <row r="11" spans="1:30" ht="15.75" customHeight="1">
      <c r="A11" s="7"/>
      <c r="B11" s="8"/>
      <c r="C11" s="8"/>
      <c r="D11" s="16"/>
      <c r="E11" s="16"/>
      <c r="F11" s="16"/>
      <c r="G11" s="17"/>
      <c r="H11" s="8"/>
      <c r="I11" s="8"/>
      <c r="J11" s="8"/>
      <c r="K11" s="84"/>
      <c r="AD11" s="141" t="b">
        <v>0</v>
      </c>
    </row>
    <row r="12" spans="1:17" ht="15.75" customHeight="1">
      <c r="A12" s="7"/>
      <c r="B12" s="167" t="s">
        <v>1</v>
      </c>
      <c r="C12" s="168"/>
      <c r="D12" s="19">
        <f>IF(AD14=TRUE,J13,IF(AD15=TRUE,J14,))</f>
        <v>3</v>
      </c>
      <c r="E12" s="20" t="s">
        <v>5</v>
      </c>
      <c r="F12" s="21"/>
      <c r="G12" s="21"/>
      <c r="H12" s="13"/>
      <c r="I12" s="166" t="s">
        <v>60</v>
      </c>
      <c r="J12" s="166"/>
      <c r="K12" s="85"/>
      <c r="M12" s="164" t="s">
        <v>91</v>
      </c>
      <c r="N12" s="164"/>
      <c r="O12" s="164"/>
      <c r="P12" s="144"/>
      <c r="Q12" s="144"/>
    </row>
    <row r="13" spans="1:17" ht="15.75" customHeight="1">
      <c r="A13" s="7"/>
      <c r="B13" s="162" t="s">
        <v>53</v>
      </c>
      <c r="C13" s="163"/>
      <c r="D13" s="22">
        <f>F13*D12</f>
        <v>810</v>
      </c>
      <c r="E13" s="23" t="s">
        <v>8</v>
      </c>
      <c r="F13" s="24">
        <v>270</v>
      </c>
      <c r="G13" s="25" t="s">
        <v>100</v>
      </c>
      <c r="H13" s="99"/>
      <c r="I13" s="101" t="s">
        <v>3</v>
      </c>
      <c r="J13" s="102">
        <v>3</v>
      </c>
      <c r="K13" s="85"/>
      <c r="M13" s="164"/>
      <c r="N13" s="164"/>
      <c r="O13" s="164"/>
      <c r="P13" s="144"/>
      <c r="Q13" s="144"/>
    </row>
    <row r="14" spans="1:30" ht="15.75" customHeight="1">
      <c r="A14" s="7"/>
      <c r="B14" s="26"/>
      <c r="C14" s="27"/>
      <c r="D14" s="28"/>
      <c r="E14" s="29"/>
      <c r="F14" s="21"/>
      <c r="G14" s="21"/>
      <c r="H14" s="99"/>
      <c r="I14" s="101" t="s">
        <v>6</v>
      </c>
      <c r="J14" s="102">
        <v>6</v>
      </c>
      <c r="K14" s="85"/>
      <c r="M14" s="164"/>
      <c r="N14" s="164"/>
      <c r="O14" s="164"/>
      <c r="P14" s="144"/>
      <c r="Q14" s="144"/>
      <c r="AD14" s="141" t="b">
        <v>1</v>
      </c>
    </row>
    <row r="15" spans="1:33" ht="15.75" customHeight="1">
      <c r="A15" s="7"/>
      <c r="B15" s="162" t="s">
        <v>51</v>
      </c>
      <c r="C15" s="163"/>
      <c r="D15" s="28">
        <v>8</v>
      </c>
      <c r="E15" s="23" t="s">
        <v>7</v>
      </c>
      <c r="F15" s="21"/>
      <c r="G15" s="21"/>
      <c r="H15" s="13"/>
      <c r="I15" s="8"/>
      <c r="J15" s="8"/>
      <c r="K15" s="85"/>
      <c r="M15" s="145" t="s">
        <v>88</v>
      </c>
      <c r="N15" s="145" t="s">
        <v>85</v>
      </c>
      <c r="O15" s="145" t="s">
        <v>84</v>
      </c>
      <c r="P15" s="144"/>
      <c r="Q15" s="144"/>
      <c r="R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1" t="b">
        <v>0</v>
      </c>
      <c r="AG15" s="146"/>
    </row>
    <row r="16" spans="1:29" ht="15.75" customHeight="1">
      <c r="A16" s="7"/>
      <c r="B16" s="162" t="s">
        <v>52</v>
      </c>
      <c r="C16" s="163"/>
      <c r="D16" s="30">
        <f>IF(D12=3,O16,O17)</f>
        <v>12</v>
      </c>
      <c r="E16" s="23" t="s">
        <v>43</v>
      </c>
      <c r="F16" s="8"/>
      <c r="G16" s="8"/>
      <c r="H16" s="13"/>
      <c r="I16" s="166" t="s">
        <v>9</v>
      </c>
      <c r="J16" s="166"/>
      <c r="K16" s="14"/>
      <c r="M16" s="165">
        <v>4</v>
      </c>
      <c r="N16" s="147">
        <v>3</v>
      </c>
      <c r="O16" s="148">
        <f>M16*N16</f>
        <v>12</v>
      </c>
      <c r="P16" s="144"/>
      <c r="Q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</row>
    <row r="17" spans="1:29" ht="15.75" customHeight="1">
      <c r="A17" s="7"/>
      <c r="B17" s="26"/>
      <c r="C17" s="27"/>
      <c r="D17" s="30">
        <f>D16*1.36</f>
        <v>16.32</v>
      </c>
      <c r="E17" s="23" t="s">
        <v>14</v>
      </c>
      <c r="F17" s="8"/>
      <c r="G17" s="8"/>
      <c r="H17" s="99"/>
      <c r="I17" s="101" t="s">
        <v>3</v>
      </c>
      <c r="J17" s="100">
        <v>0.6</v>
      </c>
      <c r="K17" s="85"/>
      <c r="M17" s="165"/>
      <c r="N17" s="148">
        <v>4</v>
      </c>
      <c r="O17" s="148">
        <f>M16*N17</f>
        <v>16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</row>
    <row r="18" spans="1:30" ht="15.75" customHeight="1">
      <c r="A18" s="7"/>
      <c r="B18" s="162" t="s">
        <v>89</v>
      </c>
      <c r="C18" s="163"/>
      <c r="D18" s="30">
        <f>D17/0.75</f>
        <v>21.76</v>
      </c>
      <c r="E18" s="23" t="s">
        <v>14</v>
      </c>
      <c r="F18" s="8"/>
      <c r="G18" s="8"/>
      <c r="H18" s="99"/>
      <c r="I18" s="101" t="s">
        <v>4</v>
      </c>
      <c r="J18" s="100">
        <v>0.7</v>
      </c>
      <c r="K18" s="85"/>
      <c r="M18" s="149"/>
      <c r="N18" s="149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D18" s="141" t="b">
        <v>0</v>
      </c>
    </row>
    <row r="19" spans="1:30" ht="15.75" customHeight="1">
      <c r="A19" s="7"/>
      <c r="B19" s="26"/>
      <c r="C19" s="27"/>
      <c r="D19" s="30"/>
      <c r="E19" s="23"/>
      <c r="F19" s="8"/>
      <c r="G19" s="8"/>
      <c r="H19" s="99"/>
      <c r="I19" s="101" t="s">
        <v>6</v>
      </c>
      <c r="J19" s="100">
        <v>0.8</v>
      </c>
      <c r="K19" s="85"/>
      <c r="M19" s="149"/>
      <c r="N19" s="149"/>
      <c r="S19" s="144"/>
      <c r="T19" s="144"/>
      <c r="U19" s="144"/>
      <c r="V19" s="144"/>
      <c r="W19" s="144"/>
      <c r="X19" s="144"/>
      <c r="Y19" s="144"/>
      <c r="Z19" s="144"/>
      <c r="AD19" s="141" t="b">
        <v>1</v>
      </c>
    </row>
    <row r="20" spans="1:30" ht="15.75" customHeight="1">
      <c r="A20" s="7"/>
      <c r="B20" s="162" t="s">
        <v>72</v>
      </c>
      <c r="C20" s="163"/>
      <c r="D20" s="31">
        <f>10/(D15*D12)</f>
        <v>0.4166666666666667</v>
      </c>
      <c r="E20" s="23" t="s">
        <v>10</v>
      </c>
      <c r="F20" s="8"/>
      <c r="G20" s="8"/>
      <c r="H20" s="13"/>
      <c r="I20" s="8"/>
      <c r="J20" s="8"/>
      <c r="K20" s="85"/>
      <c r="L20" s="32"/>
      <c r="M20" s="149"/>
      <c r="N20" s="149"/>
      <c r="S20" s="144"/>
      <c r="T20" s="144"/>
      <c r="U20" s="144"/>
      <c r="V20" s="144"/>
      <c r="W20" s="144"/>
      <c r="X20" s="144"/>
      <c r="Y20" s="144"/>
      <c r="Z20" s="144"/>
      <c r="AD20" s="141" t="b">
        <v>0</v>
      </c>
    </row>
    <row r="21" spans="1:26" ht="15.75" customHeight="1">
      <c r="A21" s="7"/>
      <c r="B21" s="162" t="s">
        <v>11</v>
      </c>
      <c r="C21" s="163"/>
      <c r="D21" s="28">
        <f>IF(AD18=TRUE,J17,IF(AD19=TRUE,J18,IF(AD20=TRUE,J19)))</f>
        <v>0.7</v>
      </c>
      <c r="E21" s="29"/>
      <c r="F21" s="8"/>
      <c r="G21" s="8"/>
      <c r="H21" s="13"/>
      <c r="I21" s="166" t="s">
        <v>13</v>
      </c>
      <c r="J21" s="166"/>
      <c r="K21" s="85"/>
      <c r="L21" s="32"/>
      <c r="M21" s="149"/>
      <c r="N21" s="149"/>
      <c r="S21" s="144"/>
      <c r="T21" s="144"/>
      <c r="U21" s="144"/>
      <c r="V21" s="144"/>
      <c r="W21" s="144"/>
      <c r="X21" s="144"/>
      <c r="Y21" s="144"/>
      <c r="Z21" s="144"/>
    </row>
    <row r="22" spans="1:26" ht="15.75" customHeight="1">
      <c r="A22" s="7"/>
      <c r="B22" s="173" t="s">
        <v>73</v>
      </c>
      <c r="C22" s="174"/>
      <c r="D22" s="35">
        <f>D20/D21</f>
        <v>0.5952380952380953</v>
      </c>
      <c r="E22" s="36" t="s">
        <v>10</v>
      </c>
      <c r="F22" s="8"/>
      <c r="G22" s="8"/>
      <c r="H22" s="99"/>
      <c r="I22" s="101" t="s">
        <v>63</v>
      </c>
      <c r="J22" s="100">
        <v>25</v>
      </c>
      <c r="K22" s="85"/>
      <c r="L22" s="32"/>
      <c r="M22" s="149"/>
      <c r="N22" s="149"/>
      <c r="S22" s="144"/>
      <c r="T22" s="144"/>
      <c r="U22" s="144"/>
      <c r="V22" s="144"/>
      <c r="W22" s="144"/>
      <c r="X22" s="144"/>
      <c r="Y22" s="144"/>
      <c r="Z22" s="144"/>
    </row>
    <row r="23" spans="1:28" ht="15.75" customHeight="1">
      <c r="A23" s="7"/>
      <c r="B23" s="37"/>
      <c r="C23" s="38"/>
      <c r="D23" s="35">
        <f>1/D22</f>
        <v>1.6799999999999997</v>
      </c>
      <c r="E23" s="36" t="s">
        <v>12</v>
      </c>
      <c r="F23" s="8"/>
      <c r="G23" s="8"/>
      <c r="H23" s="99"/>
      <c r="I23" s="101" t="s">
        <v>64</v>
      </c>
      <c r="J23" s="100">
        <v>50</v>
      </c>
      <c r="K23" s="85"/>
      <c r="L23" s="32"/>
      <c r="M23" s="177" t="s">
        <v>71</v>
      </c>
      <c r="N23" s="145" t="s">
        <v>76</v>
      </c>
      <c r="O23" s="145" t="s">
        <v>77</v>
      </c>
      <c r="P23" s="145" t="s">
        <v>83</v>
      </c>
      <c r="Q23" s="145" t="s">
        <v>74</v>
      </c>
      <c r="S23" s="144"/>
      <c r="T23" s="144"/>
      <c r="U23" s="144"/>
      <c r="V23" s="144"/>
      <c r="W23" s="144"/>
      <c r="X23" s="144"/>
      <c r="Y23" s="144"/>
      <c r="Z23" s="144"/>
      <c r="AA23" s="150"/>
      <c r="AB23" s="150"/>
    </row>
    <row r="24" spans="1:30" ht="15.75" customHeight="1">
      <c r="A24" s="7"/>
      <c r="B24" s="37"/>
      <c r="C24" s="39"/>
      <c r="D24" s="28"/>
      <c r="E24" s="29"/>
      <c r="F24" s="8"/>
      <c r="G24" s="8"/>
      <c r="H24" s="99"/>
      <c r="I24" s="101" t="s">
        <v>65</v>
      </c>
      <c r="J24" s="100">
        <v>75</v>
      </c>
      <c r="K24" s="85"/>
      <c r="M24" s="177"/>
      <c r="N24" s="151">
        <f>D12</f>
        <v>3</v>
      </c>
      <c r="O24" s="152">
        <f>3700*D12/10</f>
        <v>1110</v>
      </c>
      <c r="P24" s="147">
        <f>D15</f>
        <v>8</v>
      </c>
      <c r="Q24" s="153">
        <f>O24*D$15/3600</f>
        <v>2.466666666666667</v>
      </c>
      <c r="S24" s="144"/>
      <c r="T24" s="144"/>
      <c r="U24" s="144"/>
      <c r="AD24" s="141" t="b">
        <v>0</v>
      </c>
    </row>
    <row r="25" spans="1:30" ht="15.75" customHeight="1">
      <c r="A25" s="7"/>
      <c r="B25" s="162" t="s">
        <v>61</v>
      </c>
      <c r="C25" s="163"/>
      <c r="D25" s="28">
        <f>IF(AD24=TRUE,J22,IF(AD25=TRUE,J23,IF(AD26=TRUE,J24)))</f>
        <v>50</v>
      </c>
      <c r="E25" s="23" t="s">
        <v>15</v>
      </c>
      <c r="F25" s="8"/>
      <c r="G25" s="8"/>
      <c r="H25" s="13"/>
      <c r="I25" s="8"/>
      <c r="J25" s="8"/>
      <c r="K25" s="14"/>
      <c r="L25" s="32"/>
      <c r="M25" s="154"/>
      <c r="N25" s="145"/>
      <c r="O25" s="155"/>
      <c r="T25" s="144"/>
      <c r="U25" s="144"/>
      <c r="AD25" s="141" t="b">
        <v>1</v>
      </c>
    </row>
    <row r="26" spans="1:30" ht="15.75" customHeight="1">
      <c r="A26" s="7"/>
      <c r="B26" s="162" t="s">
        <v>16</v>
      </c>
      <c r="C26" s="163"/>
      <c r="D26" s="30">
        <f>D18*100/D25</f>
        <v>43.52</v>
      </c>
      <c r="E26" s="23" t="s">
        <v>14</v>
      </c>
      <c r="F26" s="8"/>
      <c r="G26" s="8"/>
      <c r="H26" s="13"/>
      <c r="I26" s="166" t="s">
        <v>17</v>
      </c>
      <c r="J26" s="166"/>
      <c r="K26" s="85"/>
      <c r="L26" s="32"/>
      <c r="N26" s="145"/>
      <c r="R26" s="144"/>
      <c r="T26" s="144"/>
      <c r="AD26" s="141" t="b">
        <v>0</v>
      </c>
    </row>
    <row r="27" spans="1:30" ht="15.75" customHeight="1">
      <c r="A27" s="7"/>
      <c r="B27" s="26"/>
      <c r="C27" s="27"/>
      <c r="D27" s="28"/>
      <c r="E27" s="29"/>
      <c r="F27" s="8"/>
      <c r="G27" s="8"/>
      <c r="H27" s="99"/>
      <c r="I27" s="104" t="s">
        <v>62</v>
      </c>
      <c r="J27" s="105">
        <v>90</v>
      </c>
      <c r="K27" s="85"/>
      <c r="L27" s="32"/>
      <c r="M27" s="181" t="s">
        <v>57</v>
      </c>
      <c r="N27" s="181"/>
      <c r="O27" s="145"/>
      <c r="P27" s="145"/>
      <c r="Q27" s="144"/>
      <c r="R27" s="144"/>
      <c r="T27" s="144"/>
      <c r="AD27" s="141" t="b">
        <v>0</v>
      </c>
    </row>
    <row r="28" spans="1:30" ht="15.75" customHeight="1">
      <c r="A28" s="7"/>
      <c r="B28" s="162" t="s">
        <v>92</v>
      </c>
      <c r="C28" s="163"/>
      <c r="D28" s="28" t="str">
        <f>IF(AD27=TRUE,"Pequeño",IF(AD28=TRUE,"Mediano",IF(AD29=TRUE,"Grande",IF(AD30=TRUE,"Muy Grande",))))</f>
        <v>Mediano</v>
      </c>
      <c r="E28" s="23"/>
      <c r="F28" s="8"/>
      <c r="G28" s="8"/>
      <c r="H28" s="99"/>
      <c r="I28" s="101" t="s">
        <v>18</v>
      </c>
      <c r="J28" s="100">
        <v>120</v>
      </c>
      <c r="K28" s="85"/>
      <c r="L28" s="32"/>
      <c r="N28" s="137" t="s">
        <v>54</v>
      </c>
      <c r="O28" s="145"/>
      <c r="P28" s="145"/>
      <c r="Q28" s="144"/>
      <c r="R28" s="144"/>
      <c r="T28" s="144"/>
      <c r="V28" s="138"/>
      <c r="W28" s="138"/>
      <c r="X28" s="138"/>
      <c r="Y28" s="138"/>
      <c r="Z28" s="138"/>
      <c r="AD28" s="141" t="b">
        <v>1</v>
      </c>
    </row>
    <row r="29" spans="1:30" ht="15.75" customHeight="1">
      <c r="A29" s="7"/>
      <c r="B29" s="178" t="s">
        <v>93</v>
      </c>
      <c r="C29" s="179"/>
      <c r="D29" s="91">
        <f>IF(AD27=TRUE,J27,IF(AD28=TRUE,J28,IF(AD29=TRUE,J29,IF(AD30=TRUE,J30,""))))</f>
        <v>120</v>
      </c>
      <c r="E29" s="92" t="s">
        <v>14</v>
      </c>
      <c r="F29" s="8"/>
      <c r="G29" s="8"/>
      <c r="H29" s="99"/>
      <c r="I29" s="101" t="s">
        <v>19</v>
      </c>
      <c r="J29" s="100">
        <v>150</v>
      </c>
      <c r="K29" s="85"/>
      <c r="L29" s="32"/>
      <c r="M29" s="137" t="s">
        <v>55</v>
      </c>
      <c r="N29" s="145" t="s">
        <v>78</v>
      </c>
      <c r="O29" s="145"/>
      <c r="Q29" s="144"/>
      <c r="R29" s="144"/>
      <c r="T29" s="144"/>
      <c r="V29" s="136"/>
      <c r="W29" s="136"/>
      <c r="X29" s="136"/>
      <c r="Y29" s="136"/>
      <c r="Z29" s="136"/>
      <c r="AD29" s="141" t="b">
        <v>0</v>
      </c>
    </row>
    <row r="30" spans="1:30" ht="15.75" customHeight="1">
      <c r="A30" s="40"/>
      <c r="B30" s="21"/>
      <c r="C30" s="21"/>
      <c r="D30" s="80"/>
      <c r="E30" s="81"/>
      <c r="F30" s="21"/>
      <c r="G30" s="8"/>
      <c r="H30" s="99"/>
      <c r="I30" s="101" t="s">
        <v>20</v>
      </c>
      <c r="J30" s="100">
        <v>180</v>
      </c>
      <c r="K30" s="14"/>
      <c r="L30" s="32"/>
      <c r="M30" s="137" t="s">
        <v>56</v>
      </c>
      <c r="N30" s="145" t="s">
        <v>79</v>
      </c>
      <c r="O30" s="145"/>
      <c r="P30" s="145"/>
      <c r="Q30" s="144"/>
      <c r="R30" s="144"/>
      <c r="T30" s="144"/>
      <c r="U30" s="138"/>
      <c r="V30" s="150"/>
      <c r="W30" s="150"/>
      <c r="X30" s="150"/>
      <c r="Y30" s="150"/>
      <c r="Z30" s="150"/>
      <c r="AD30" s="141" t="b">
        <v>0</v>
      </c>
    </row>
    <row r="31" spans="1:26" ht="15.75" customHeight="1">
      <c r="A31" s="7"/>
      <c r="B31" s="171" t="s">
        <v>66</v>
      </c>
      <c r="C31" s="172"/>
      <c r="D31" s="94"/>
      <c r="E31" s="98"/>
      <c r="F31" s="8"/>
      <c r="G31" s="8"/>
      <c r="H31" s="13"/>
      <c r="I31" s="8"/>
      <c r="J31" s="8"/>
      <c r="K31" s="85"/>
      <c r="L31" s="32"/>
      <c r="N31" s="145"/>
      <c r="O31" s="144"/>
      <c r="P31" s="144"/>
      <c r="Q31" s="144"/>
      <c r="T31" s="144"/>
      <c r="U31" s="136"/>
      <c r="V31" s="145"/>
      <c r="W31" s="145"/>
      <c r="X31" s="145"/>
      <c r="Y31" s="145"/>
      <c r="Z31" s="145"/>
    </row>
    <row r="32" spans="1:26" ht="15.75" customHeight="1">
      <c r="A32" s="7"/>
      <c r="B32" s="162" t="s">
        <v>21</v>
      </c>
      <c r="C32" s="163"/>
      <c r="D32" s="31">
        <f>IF(D25=J22,J34*D29/1.36,IF(D25=J23,J35*D29/1.36,IF(D25=J24,J36*D29/1.36)))</f>
        <v>13.235294117647058</v>
      </c>
      <c r="E32" s="23" t="s">
        <v>50</v>
      </c>
      <c r="F32" s="8"/>
      <c r="G32" s="8"/>
      <c r="H32" s="13"/>
      <c r="I32" s="166" t="s">
        <v>22</v>
      </c>
      <c r="J32" s="166"/>
      <c r="K32" s="85"/>
      <c r="L32" s="32"/>
      <c r="M32" s="182" t="s">
        <v>102</v>
      </c>
      <c r="N32" s="182"/>
      <c r="O32" s="182"/>
      <c r="S32" s="144"/>
      <c r="U32" s="150"/>
      <c r="V32" s="150"/>
      <c r="W32" s="150"/>
      <c r="X32" s="150"/>
      <c r="Y32" s="150"/>
      <c r="Z32" s="150"/>
    </row>
    <row r="33" spans="1:26" ht="15.75" customHeight="1">
      <c r="A33" s="7"/>
      <c r="B33" s="26"/>
      <c r="C33" s="27"/>
      <c r="D33" s="31">
        <f>D32*D22</f>
        <v>7.878151260504203</v>
      </c>
      <c r="E33" s="23" t="s">
        <v>69</v>
      </c>
      <c r="F33" s="8"/>
      <c r="G33" s="8"/>
      <c r="H33" s="13"/>
      <c r="I33" s="101" t="s">
        <v>24</v>
      </c>
      <c r="J33" s="105" t="s">
        <v>75</v>
      </c>
      <c r="K33" s="85"/>
      <c r="M33" s="183" t="s">
        <v>93</v>
      </c>
      <c r="N33" s="145">
        <f>D29</f>
        <v>120</v>
      </c>
      <c r="O33" s="137" t="s">
        <v>14</v>
      </c>
      <c r="S33" s="144"/>
      <c r="U33" s="145"/>
      <c r="V33" s="150"/>
      <c r="W33" s="150"/>
      <c r="X33" s="150"/>
      <c r="Y33" s="150"/>
      <c r="Z33" s="150"/>
    </row>
    <row r="34" spans="1:26" ht="15.75" customHeight="1">
      <c r="A34" s="7"/>
      <c r="B34" s="162" t="s">
        <v>23</v>
      </c>
      <c r="C34" s="163"/>
      <c r="D34" s="41">
        <f>D32*0.1/100</f>
        <v>0.013235294117647059</v>
      </c>
      <c r="E34" s="23" t="s">
        <v>50</v>
      </c>
      <c r="F34" s="8"/>
      <c r="G34" s="8"/>
      <c r="H34" s="8"/>
      <c r="I34" s="101" t="s">
        <v>3</v>
      </c>
      <c r="J34" s="106">
        <v>0.1</v>
      </c>
      <c r="K34" s="85"/>
      <c r="L34" s="32"/>
      <c r="M34" s="183"/>
      <c r="N34" s="136">
        <f>N33/1.36</f>
        <v>88.23529411764706</v>
      </c>
      <c r="O34" s="137" t="s">
        <v>43</v>
      </c>
      <c r="P34" s="138"/>
      <c r="Q34" s="160" t="s">
        <v>103</v>
      </c>
      <c r="R34" s="160"/>
      <c r="U34" s="150"/>
      <c r="V34" s="150"/>
      <c r="W34" s="150"/>
      <c r="X34" s="150"/>
      <c r="Y34" s="150"/>
      <c r="Z34" s="150"/>
    </row>
    <row r="35" spans="1:26" ht="15.75" customHeight="1">
      <c r="A35" s="7"/>
      <c r="B35" s="37"/>
      <c r="C35" s="39"/>
      <c r="D35" s="41">
        <f>D33*0.1/100</f>
        <v>0.007878151260504203</v>
      </c>
      <c r="E35" s="23" t="s">
        <v>69</v>
      </c>
      <c r="F35" s="8"/>
      <c r="G35" s="8"/>
      <c r="H35" s="8"/>
      <c r="I35" s="101" t="s">
        <v>4</v>
      </c>
      <c r="J35" s="106">
        <v>0.15</v>
      </c>
      <c r="K35" s="14"/>
      <c r="L35" s="32"/>
      <c r="M35" s="161" t="s">
        <v>104</v>
      </c>
      <c r="N35" s="145">
        <f>+I56</f>
        <v>560</v>
      </c>
      <c r="O35" s="137" t="s">
        <v>46</v>
      </c>
      <c r="Q35" s="160"/>
      <c r="R35" s="160"/>
      <c r="U35" s="150"/>
      <c r="V35" s="150"/>
      <c r="W35" s="150"/>
      <c r="X35" s="150"/>
      <c r="Y35" s="150"/>
      <c r="Z35" s="150"/>
    </row>
    <row r="36" spans="1:21" ht="15.75" customHeight="1" thickBot="1">
      <c r="A36" s="7"/>
      <c r="B36" s="169" t="s">
        <v>68</v>
      </c>
      <c r="C36" s="170"/>
      <c r="D36" s="126">
        <v>1</v>
      </c>
      <c r="E36" s="93" t="s">
        <v>45</v>
      </c>
      <c r="F36" s="8"/>
      <c r="G36" s="8"/>
      <c r="H36" s="8"/>
      <c r="I36" s="101" t="s">
        <v>6</v>
      </c>
      <c r="J36" s="106">
        <v>0.207</v>
      </c>
      <c r="K36" s="85"/>
      <c r="L36" s="32"/>
      <c r="M36" s="161"/>
      <c r="N36" s="156">
        <f>N34*N35</f>
        <v>49411.76470588235</v>
      </c>
      <c r="O36" s="137" t="s">
        <v>28</v>
      </c>
      <c r="Q36" s="136" t="s">
        <v>26</v>
      </c>
      <c r="R36" s="150" t="s">
        <v>105</v>
      </c>
      <c r="U36" s="150"/>
    </row>
    <row r="37" spans="1:21" ht="15.75" customHeight="1" thickTop="1">
      <c r="A37" s="7"/>
      <c r="B37" s="33" t="s">
        <v>70</v>
      </c>
      <c r="C37" s="34"/>
      <c r="D37" s="42">
        <f>D36*D32</f>
        <v>13.235294117647058</v>
      </c>
      <c r="E37" s="36" t="s">
        <v>31</v>
      </c>
      <c r="F37" s="8"/>
      <c r="G37" s="8"/>
      <c r="H37" s="8"/>
      <c r="I37" s="8"/>
      <c r="J37" s="8"/>
      <c r="K37" s="85"/>
      <c r="L37" s="32"/>
      <c r="M37" s="161" t="s">
        <v>106</v>
      </c>
      <c r="N37" s="156">
        <v>12000</v>
      </c>
      <c r="O37" s="137" t="s">
        <v>44</v>
      </c>
      <c r="Q37" s="156">
        <v>500</v>
      </c>
      <c r="R37" s="136">
        <f>$N$36/$N$37+$N$36/($N$38*Q37)+($N$36*$N$39*0.6)/(Q37*100)+($N$36*(($N$40+$N$41)/(Q37*100)))+$N$34*$N$43*$N$42</f>
        <v>14.967058823529412</v>
      </c>
      <c r="U37" s="150"/>
    </row>
    <row r="38" spans="1:18" ht="15.75" customHeight="1">
      <c r="A38" s="7"/>
      <c r="B38" s="43"/>
      <c r="C38" s="44"/>
      <c r="D38" s="45">
        <f>D33*D36</f>
        <v>7.878151260504203</v>
      </c>
      <c r="E38" s="46" t="s">
        <v>39</v>
      </c>
      <c r="F38" s="8"/>
      <c r="G38" s="8"/>
      <c r="H38" s="8"/>
      <c r="I38" s="8"/>
      <c r="J38" s="8"/>
      <c r="K38" s="85"/>
      <c r="M38" s="161"/>
      <c r="N38" s="145">
        <v>20</v>
      </c>
      <c r="O38" s="137" t="s">
        <v>33</v>
      </c>
      <c r="Q38" s="156">
        <v>1000</v>
      </c>
      <c r="R38" s="136">
        <f>$N$36/$N$37+$N$36/($N$38*Q38)+($N$36*$N$39*0.6)/(Q38*100)+($N$36*(($N$40+$N$41)/(Q38*100)))+$N$34*$N$43*$N$42</f>
        <v>10.865882352941176</v>
      </c>
    </row>
    <row r="39" spans="1:15" ht="15.75" customHeight="1">
      <c r="A39" s="7"/>
      <c r="B39" s="8"/>
      <c r="C39" s="8"/>
      <c r="D39" s="47"/>
      <c r="E39" s="11"/>
      <c r="F39" s="8"/>
      <c r="G39" s="8"/>
      <c r="H39" s="8"/>
      <c r="I39" s="166" t="s">
        <v>98</v>
      </c>
      <c r="J39" s="166"/>
      <c r="K39" s="85"/>
      <c r="M39" s="143" t="s">
        <v>107</v>
      </c>
      <c r="N39" s="157">
        <f>+D47</f>
        <v>5</v>
      </c>
      <c r="O39" s="137" t="s">
        <v>15</v>
      </c>
    </row>
    <row r="40" spans="1:15" ht="15.75" customHeight="1">
      <c r="A40" s="7"/>
      <c r="B40" s="171" t="s">
        <v>67</v>
      </c>
      <c r="C40" s="172"/>
      <c r="D40" s="94"/>
      <c r="E40" s="95"/>
      <c r="F40" s="96"/>
      <c r="G40" s="97"/>
      <c r="H40" s="108"/>
      <c r="I40" s="101" t="s">
        <v>3</v>
      </c>
      <c r="J40" s="102">
        <v>100</v>
      </c>
      <c r="K40" s="85"/>
      <c r="L40" s="32"/>
      <c r="M40" s="143" t="s">
        <v>47</v>
      </c>
      <c r="N40" s="157">
        <v>0.2</v>
      </c>
      <c r="O40" s="137" t="s">
        <v>15</v>
      </c>
    </row>
    <row r="41" spans="1:15" ht="15.75" customHeight="1">
      <c r="A41" s="7"/>
      <c r="B41" s="167" t="s">
        <v>25</v>
      </c>
      <c r="C41" s="168"/>
      <c r="D41" s="109">
        <f>IF(AD46=TRUE,J40,J41)</f>
        <v>100</v>
      </c>
      <c r="E41" s="110" t="s">
        <v>26</v>
      </c>
      <c r="F41" s="111"/>
      <c r="G41" s="112"/>
      <c r="H41" s="108"/>
      <c r="I41" s="101" t="s">
        <v>6</v>
      </c>
      <c r="J41" s="107">
        <v>200</v>
      </c>
      <c r="K41" s="14"/>
      <c r="L41" s="32"/>
      <c r="M41" s="143" t="s">
        <v>48</v>
      </c>
      <c r="N41" s="157">
        <v>0.1</v>
      </c>
      <c r="O41" s="137" t="s">
        <v>15</v>
      </c>
    </row>
    <row r="42" spans="1:15" ht="15.75" customHeight="1">
      <c r="A42" s="7"/>
      <c r="B42" s="26"/>
      <c r="C42" s="27"/>
      <c r="D42" s="28"/>
      <c r="E42" s="50"/>
      <c r="F42" s="39"/>
      <c r="G42" s="49"/>
      <c r="H42" s="8"/>
      <c r="I42" s="8"/>
      <c r="J42" s="8"/>
      <c r="K42" s="85"/>
      <c r="L42" s="32"/>
      <c r="M42" s="158" t="s">
        <v>108</v>
      </c>
      <c r="N42" s="157">
        <v>0.2</v>
      </c>
      <c r="O42" s="140" t="s">
        <v>45</v>
      </c>
    </row>
    <row r="43" spans="1:15" ht="15.75" customHeight="1">
      <c r="A43" s="7"/>
      <c r="B43" s="162" t="s">
        <v>27</v>
      </c>
      <c r="C43" s="163"/>
      <c r="D43" s="22">
        <f>F43*D12</f>
        <v>9900</v>
      </c>
      <c r="E43" s="48" t="s">
        <v>28</v>
      </c>
      <c r="F43" s="51">
        <v>3300</v>
      </c>
      <c r="G43" s="52" t="s">
        <v>101</v>
      </c>
      <c r="H43" s="8"/>
      <c r="I43" s="8"/>
      <c r="J43" s="8"/>
      <c r="K43" s="85"/>
      <c r="L43" s="32"/>
      <c r="M43" s="158" t="s">
        <v>109</v>
      </c>
      <c r="N43" s="139">
        <v>0.15</v>
      </c>
      <c r="O43" s="140" t="s">
        <v>49</v>
      </c>
    </row>
    <row r="44" spans="1:15" ht="15.75" customHeight="1">
      <c r="A44" s="7"/>
      <c r="B44" s="37"/>
      <c r="C44" s="39"/>
      <c r="D44" s="22"/>
      <c r="E44" s="50"/>
      <c r="F44" s="39"/>
      <c r="G44" s="49"/>
      <c r="H44" s="8"/>
      <c r="I44" s="8"/>
      <c r="J44" s="8"/>
      <c r="K44" s="86"/>
      <c r="M44" s="158"/>
      <c r="N44" s="139"/>
      <c r="O44" s="140"/>
    </row>
    <row r="45" spans="1:19" ht="15.75" customHeight="1">
      <c r="A45" s="7"/>
      <c r="B45" s="162" t="s">
        <v>29</v>
      </c>
      <c r="C45" s="163"/>
      <c r="D45" s="127">
        <v>1200</v>
      </c>
      <c r="E45" s="48" t="s">
        <v>30</v>
      </c>
      <c r="F45" s="31">
        <f>+$D$43/$D45</f>
        <v>8.25</v>
      </c>
      <c r="G45" s="52" t="s">
        <v>31</v>
      </c>
      <c r="H45" s="8"/>
      <c r="I45" s="8"/>
      <c r="J45" s="8"/>
      <c r="K45" s="86"/>
      <c r="S45" s="138"/>
    </row>
    <row r="46" spans="1:30" ht="15.75" customHeight="1">
      <c r="A46" s="7"/>
      <c r="B46" s="162" t="s">
        <v>32</v>
      </c>
      <c r="C46" s="163"/>
      <c r="D46" s="128">
        <v>20</v>
      </c>
      <c r="E46" s="48" t="s">
        <v>33</v>
      </c>
      <c r="F46" s="31">
        <f>+$D$43/($D46*D41)</f>
        <v>4.95</v>
      </c>
      <c r="G46" s="52" t="s">
        <v>31</v>
      </c>
      <c r="H46" s="8"/>
      <c r="I46" s="8"/>
      <c r="J46" s="8"/>
      <c r="K46" s="86"/>
      <c r="M46" s="164" t="s">
        <v>80</v>
      </c>
      <c r="N46" s="164" t="s">
        <v>81</v>
      </c>
      <c r="O46" s="164" t="s">
        <v>82</v>
      </c>
      <c r="P46" s="164" t="s">
        <v>90</v>
      </c>
      <c r="Q46" s="164" t="s">
        <v>86</v>
      </c>
      <c r="R46" s="164" t="s">
        <v>87</v>
      </c>
      <c r="S46" s="136"/>
      <c r="T46" s="138"/>
      <c r="AD46" s="141" t="b">
        <v>1</v>
      </c>
    </row>
    <row r="47" spans="1:30" ht="15.75" customHeight="1">
      <c r="A47" s="7"/>
      <c r="B47" s="162" t="s">
        <v>34</v>
      </c>
      <c r="C47" s="163"/>
      <c r="D47" s="128">
        <v>5</v>
      </c>
      <c r="E47" s="48" t="s">
        <v>15</v>
      </c>
      <c r="F47" s="31">
        <f>+$D$43*0.006*$D47/D41</f>
        <v>2.97</v>
      </c>
      <c r="G47" s="52" t="s">
        <v>31</v>
      </c>
      <c r="H47" s="8"/>
      <c r="I47" s="180" t="str">
        <f>CONCATENATE("Vida útil para ",D41," h/año")</f>
        <v>Vida útil para 100 h/año</v>
      </c>
      <c r="J47" s="180"/>
      <c r="K47" s="14"/>
      <c r="M47" s="164"/>
      <c r="N47" s="164"/>
      <c r="O47" s="164"/>
      <c r="P47" s="164"/>
      <c r="Q47" s="164"/>
      <c r="R47" s="164"/>
      <c r="S47" s="150"/>
      <c r="T47" s="136"/>
      <c r="AD47" s="141" t="b">
        <v>0</v>
      </c>
    </row>
    <row r="48" spans="1:20" ht="15.75" customHeight="1">
      <c r="A48" s="7"/>
      <c r="B48" s="162" t="s">
        <v>35</v>
      </c>
      <c r="C48" s="163"/>
      <c r="D48" s="128">
        <v>0.2</v>
      </c>
      <c r="E48" s="48" t="s">
        <v>36</v>
      </c>
      <c r="F48" s="31">
        <f>+$D$43*$D48/(100*D41)</f>
        <v>0.198</v>
      </c>
      <c r="G48" s="52" t="s">
        <v>31</v>
      </c>
      <c r="H48" s="8"/>
      <c r="I48" s="103" t="s">
        <v>30</v>
      </c>
      <c r="J48" s="116">
        <f>+$D$43/($F$45+$F$46)</f>
        <v>750</v>
      </c>
      <c r="K48" s="85"/>
      <c r="M48" s="145">
        <v>180</v>
      </c>
      <c r="N48" s="147">
        <v>75</v>
      </c>
      <c r="O48" s="147">
        <f aca="true" t="shared" si="0" ref="O48:O59">N48/100*M48</f>
        <v>135</v>
      </c>
      <c r="P48" s="159">
        <f>0.75*O48</f>
        <v>101.25</v>
      </c>
      <c r="Q48" s="147">
        <v>4</v>
      </c>
      <c r="R48" s="159">
        <f aca="true" t="shared" si="1" ref="R48:R59">P48/(Q48*1.36)</f>
        <v>18.612132352941174</v>
      </c>
      <c r="S48" s="145"/>
      <c r="T48" s="150"/>
    </row>
    <row r="49" spans="1:20" ht="15.75" customHeight="1">
      <c r="A49" s="7"/>
      <c r="B49" s="162" t="s">
        <v>37</v>
      </c>
      <c r="C49" s="163"/>
      <c r="D49" s="128">
        <v>0.1</v>
      </c>
      <c r="E49" s="48" t="s">
        <v>36</v>
      </c>
      <c r="F49" s="31">
        <f>+$D$43*$D49/(D41*100)</f>
        <v>0.099</v>
      </c>
      <c r="G49" s="52" t="s">
        <v>31</v>
      </c>
      <c r="H49" s="8"/>
      <c r="I49" s="103" t="s">
        <v>33</v>
      </c>
      <c r="J49" s="117">
        <f>+$D$43/($D$41*($F$45+$F$46))</f>
        <v>7.5</v>
      </c>
      <c r="K49" s="85"/>
      <c r="M49" s="145">
        <v>180</v>
      </c>
      <c r="N49" s="147">
        <v>50</v>
      </c>
      <c r="O49" s="147">
        <f t="shared" si="0"/>
        <v>90</v>
      </c>
      <c r="P49" s="159">
        <f aca="true" t="shared" si="2" ref="P49:P59">0.75*O49</f>
        <v>67.5</v>
      </c>
      <c r="Q49" s="147">
        <v>4</v>
      </c>
      <c r="R49" s="159">
        <f t="shared" si="1"/>
        <v>12.408088235294116</v>
      </c>
      <c r="S49" s="150"/>
      <c r="T49" s="145"/>
    </row>
    <row r="50" spans="1:20" ht="15.75" customHeight="1">
      <c r="A50" s="7"/>
      <c r="B50" s="178" t="s">
        <v>38</v>
      </c>
      <c r="C50" s="179"/>
      <c r="D50" s="129">
        <v>0.45</v>
      </c>
      <c r="E50" s="113" t="s">
        <v>39</v>
      </c>
      <c r="F50" s="114">
        <f>+D50/D22</f>
        <v>0.7559999999999999</v>
      </c>
      <c r="G50" s="115" t="s">
        <v>31</v>
      </c>
      <c r="H50" s="8"/>
      <c r="I50" s="8"/>
      <c r="J50" s="8"/>
      <c r="K50" s="87"/>
      <c r="M50" s="145">
        <v>180</v>
      </c>
      <c r="N50" s="147">
        <v>25</v>
      </c>
      <c r="O50" s="147">
        <f t="shared" si="0"/>
        <v>45</v>
      </c>
      <c r="P50" s="159">
        <f t="shared" si="2"/>
        <v>33.75</v>
      </c>
      <c r="Q50" s="147">
        <v>4</v>
      </c>
      <c r="R50" s="159">
        <f t="shared" si="1"/>
        <v>6.204044117647058</v>
      </c>
      <c r="S50" s="150"/>
      <c r="T50" s="150"/>
    </row>
    <row r="51" spans="1:20" ht="15.75" customHeight="1">
      <c r="A51" s="7"/>
      <c r="B51" s="33" t="s">
        <v>40</v>
      </c>
      <c r="C51" s="18"/>
      <c r="D51" s="50"/>
      <c r="E51" s="50"/>
      <c r="F51" s="31">
        <f>SUM(F45:F50)</f>
        <v>17.223</v>
      </c>
      <c r="G51" s="52" t="s">
        <v>31</v>
      </c>
      <c r="H51" s="8"/>
      <c r="I51" s="8"/>
      <c r="J51" s="8"/>
      <c r="K51" s="14"/>
      <c r="M51" s="145">
        <v>150</v>
      </c>
      <c r="N51" s="147">
        <v>75</v>
      </c>
      <c r="O51" s="147">
        <f t="shared" si="0"/>
        <v>112.5</v>
      </c>
      <c r="P51" s="159">
        <f t="shared" si="2"/>
        <v>84.375</v>
      </c>
      <c r="Q51" s="147">
        <v>4</v>
      </c>
      <c r="R51" s="159">
        <f t="shared" si="1"/>
        <v>15.510110294117647</v>
      </c>
      <c r="S51" s="150"/>
      <c r="T51" s="150"/>
    </row>
    <row r="52" spans="1:20" ht="15.75" customHeight="1">
      <c r="A52" s="7"/>
      <c r="B52" s="53"/>
      <c r="C52" s="54"/>
      <c r="D52" s="55"/>
      <c r="E52" s="55"/>
      <c r="F52" s="56">
        <f>+F51*D22</f>
        <v>10.251785714285715</v>
      </c>
      <c r="G52" s="57" t="s">
        <v>39</v>
      </c>
      <c r="H52" s="8"/>
      <c r="I52" s="8"/>
      <c r="J52" s="82"/>
      <c r="K52" s="14"/>
      <c r="M52" s="145">
        <v>150</v>
      </c>
      <c r="N52" s="147">
        <v>50</v>
      </c>
      <c r="O52" s="147">
        <f t="shared" si="0"/>
        <v>75</v>
      </c>
      <c r="P52" s="159">
        <f t="shared" si="2"/>
        <v>56.25</v>
      </c>
      <c r="Q52" s="147">
        <v>4</v>
      </c>
      <c r="R52" s="159">
        <f t="shared" si="1"/>
        <v>10.340073529411764</v>
      </c>
      <c r="S52" s="150"/>
      <c r="T52" s="150"/>
    </row>
    <row r="53" spans="1:18" ht="15.75" customHeight="1">
      <c r="A53" s="7"/>
      <c r="B53" s="8"/>
      <c r="C53" s="8"/>
      <c r="D53" s="11"/>
      <c r="E53" s="11"/>
      <c r="F53" s="8"/>
      <c r="G53" s="13"/>
      <c r="H53" s="8"/>
      <c r="I53" s="8"/>
      <c r="J53" s="83"/>
      <c r="K53" s="88"/>
      <c r="M53" s="145">
        <v>150</v>
      </c>
      <c r="N53" s="147">
        <v>25</v>
      </c>
      <c r="O53" s="147">
        <f t="shared" si="0"/>
        <v>37.5</v>
      </c>
      <c r="P53" s="159">
        <f t="shared" si="2"/>
        <v>28.125</v>
      </c>
      <c r="Q53" s="147">
        <v>4</v>
      </c>
      <c r="R53" s="159">
        <f t="shared" si="1"/>
        <v>5.170036764705882</v>
      </c>
    </row>
    <row r="54" spans="1:18" ht="15.75" customHeight="1">
      <c r="A54" s="7"/>
      <c r="B54" s="186" t="s">
        <v>42</v>
      </c>
      <c r="C54" s="186"/>
      <c r="D54" s="186"/>
      <c r="E54" s="187" t="s">
        <v>110</v>
      </c>
      <c r="F54" s="187"/>
      <c r="G54" s="58"/>
      <c r="H54" s="21"/>
      <c r="I54" s="21"/>
      <c r="J54" s="8"/>
      <c r="K54" s="89"/>
      <c r="M54" s="145">
        <v>120</v>
      </c>
      <c r="N54" s="147">
        <v>75</v>
      </c>
      <c r="O54" s="147">
        <f t="shared" si="0"/>
        <v>90</v>
      </c>
      <c r="P54" s="159">
        <f t="shared" si="2"/>
        <v>67.5</v>
      </c>
      <c r="Q54" s="147">
        <v>4</v>
      </c>
      <c r="R54" s="159">
        <f t="shared" si="1"/>
        <v>12.408088235294116</v>
      </c>
    </row>
    <row r="55" spans="1:18" ht="15.75" customHeight="1">
      <c r="A55" s="7"/>
      <c r="B55" s="188" t="s">
        <v>94</v>
      </c>
      <c r="C55" s="188"/>
      <c r="D55" s="118" t="s">
        <v>95</v>
      </c>
      <c r="E55" s="119" t="s">
        <v>31</v>
      </c>
      <c r="F55" s="119" t="s">
        <v>39</v>
      </c>
      <c r="G55" s="58"/>
      <c r="H55" s="21"/>
      <c r="I55" s="184" t="s">
        <v>116</v>
      </c>
      <c r="J55" s="184"/>
      <c r="K55" s="90"/>
      <c r="M55" s="145">
        <v>120</v>
      </c>
      <c r="N55" s="147">
        <v>50</v>
      </c>
      <c r="O55" s="147">
        <f t="shared" si="0"/>
        <v>60</v>
      </c>
      <c r="P55" s="159">
        <f t="shared" si="2"/>
        <v>45</v>
      </c>
      <c r="Q55" s="147">
        <v>4</v>
      </c>
      <c r="R55" s="159">
        <f t="shared" si="1"/>
        <v>8.272058823529411</v>
      </c>
    </row>
    <row r="56" spans="1:18" ht="15.75" customHeight="1">
      <c r="A56" s="7"/>
      <c r="B56" s="101"/>
      <c r="C56" s="101" t="s">
        <v>96</v>
      </c>
      <c r="D56" s="120">
        <f>R37</f>
        <v>14.967058823529412</v>
      </c>
      <c r="E56" s="121">
        <f>IF(AD67=TRUE,D56+D37,D56*0)</f>
        <v>0</v>
      </c>
      <c r="F56" s="122">
        <f>E56*$D$22</f>
        <v>0</v>
      </c>
      <c r="G56" s="59">
        <f>IF(AD67=TRUE,F56,F56*0)</f>
        <v>0</v>
      </c>
      <c r="H56" s="21"/>
      <c r="I56" s="132">
        <v>560</v>
      </c>
      <c r="J56" s="104" t="s">
        <v>117</v>
      </c>
      <c r="K56" s="14"/>
      <c r="M56" s="145">
        <v>120</v>
      </c>
      <c r="N56" s="147">
        <v>25</v>
      </c>
      <c r="O56" s="147">
        <f t="shared" si="0"/>
        <v>30</v>
      </c>
      <c r="P56" s="159">
        <f t="shared" si="2"/>
        <v>22.5</v>
      </c>
      <c r="Q56" s="147">
        <v>4</v>
      </c>
      <c r="R56" s="159">
        <f t="shared" si="1"/>
        <v>4.136029411764706</v>
      </c>
    </row>
    <row r="57" spans="1:18" ht="15.75" customHeight="1">
      <c r="A57" s="7"/>
      <c r="B57" s="101"/>
      <c r="C57" s="101" t="s">
        <v>97</v>
      </c>
      <c r="D57" s="120">
        <f>R38</f>
        <v>10.865882352941176</v>
      </c>
      <c r="E57" s="121">
        <f>IF(AD68=TRUE,D57+D37,D57*0)</f>
        <v>24.101176470588236</v>
      </c>
      <c r="F57" s="122">
        <f>E57*$D$22</f>
        <v>14.345938375350142</v>
      </c>
      <c r="G57" s="59">
        <f>IF(AD68=TRUE,F57,F57*0)</f>
        <v>14.345938375350142</v>
      </c>
      <c r="H57" s="21"/>
      <c r="I57" s="21"/>
      <c r="J57" s="8"/>
      <c r="K57" s="14"/>
      <c r="M57" s="145">
        <v>90</v>
      </c>
      <c r="N57" s="147">
        <v>75</v>
      </c>
      <c r="O57" s="147">
        <f t="shared" si="0"/>
        <v>67.5</v>
      </c>
      <c r="P57" s="159">
        <f t="shared" si="2"/>
        <v>50.625</v>
      </c>
      <c r="Q57" s="147">
        <v>4</v>
      </c>
      <c r="R57" s="159">
        <f t="shared" si="1"/>
        <v>9.306066176470587</v>
      </c>
    </row>
    <row r="58" spans="1:18" ht="15.75" customHeight="1">
      <c r="A58" s="7"/>
      <c r="B58" s="8"/>
      <c r="C58" s="60"/>
      <c r="D58" s="11"/>
      <c r="E58" s="9"/>
      <c r="F58" s="61"/>
      <c r="G58" s="58"/>
      <c r="H58" s="21"/>
      <c r="I58" s="21"/>
      <c r="J58" s="8"/>
      <c r="K58" s="14"/>
      <c r="M58" s="145">
        <v>90</v>
      </c>
      <c r="N58" s="147">
        <v>50</v>
      </c>
      <c r="O58" s="147">
        <f t="shared" si="0"/>
        <v>45</v>
      </c>
      <c r="P58" s="159">
        <f t="shared" si="2"/>
        <v>33.75</v>
      </c>
      <c r="Q58" s="147">
        <v>4</v>
      </c>
      <c r="R58" s="159">
        <f t="shared" si="1"/>
        <v>6.204044117647058</v>
      </c>
    </row>
    <row r="59" spans="1:18" ht="15.75" customHeight="1">
      <c r="A59" s="7"/>
      <c r="B59" s="189" t="s">
        <v>111</v>
      </c>
      <c r="C59" s="189"/>
      <c r="D59" s="189"/>
      <c r="E59" s="190" t="s">
        <v>40</v>
      </c>
      <c r="F59" s="190"/>
      <c r="G59" s="58"/>
      <c r="H59" s="21"/>
      <c r="I59" s="21"/>
      <c r="J59" s="8"/>
      <c r="K59" s="14"/>
      <c r="M59" s="145">
        <v>90</v>
      </c>
      <c r="N59" s="147">
        <v>25</v>
      </c>
      <c r="O59" s="147">
        <f t="shared" si="0"/>
        <v>22.5</v>
      </c>
      <c r="P59" s="159">
        <f t="shared" si="2"/>
        <v>16.875</v>
      </c>
      <c r="Q59" s="147">
        <v>4</v>
      </c>
      <c r="R59" s="159">
        <f t="shared" si="1"/>
        <v>3.102022058823529</v>
      </c>
    </row>
    <row r="60" spans="1:11" ht="15.75" customHeight="1">
      <c r="A60" s="7"/>
      <c r="B60" s="188" t="s">
        <v>94</v>
      </c>
      <c r="C60" s="188"/>
      <c r="D60" s="123" t="s">
        <v>41</v>
      </c>
      <c r="E60" s="190" t="s">
        <v>39</v>
      </c>
      <c r="F60" s="190"/>
      <c r="G60" s="62"/>
      <c r="H60" s="21"/>
      <c r="I60" s="21"/>
      <c r="J60" s="8"/>
      <c r="K60" s="14"/>
    </row>
    <row r="61" spans="1:11" ht="15.75" customHeight="1">
      <c r="A61" s="7"/>
      <c r="B61" s="101"/>
      <c r="C61" s="124" t="str">
        <f>IF(D41=J40,"Baja","Alta")</f>
        <v>Baja</v>
      </c>
      <c r="D61" s="120">
        <f>D23*D41</f>
        <v>167.99999999999997</v>
      </c>
      <c r="E61" s="185">
        <f>+F52+$G$56+$G$57</f>
        <v>24.597724089635857</v>
      </c>
      <c r="F61" s="185" t="e">
        <f>$D$25*($D$46/$D$48)+$D$46/($D$49*D61*$D$25)+(($D$46*0.006*$D$50)/(D61*$D$25))+$D$46*(#REF!+$D$51)/(100*D61*$D$25)+($D$52/$D$25)+$D$67</f>
        <v>#REF!</v>
      </c>
      <c r="G61" s="62"/>
      <c r="H61" s="21"/>
      <c r="I61" s="21"/>
      <c r="J61" s="8"/>
      <c r="K61" s="14"/>
    </row>
    <row r="62" spans="1:11" ht="15.75" customHeight="1">
      <c r="A62" s="7"/>
      <c r="B62" s="8"/>
      <c r="C62" s="60"/>
      <c r="D62" s="11"/>
      <c r="E62" s="9"/>
      <c r="F62" s="73"/>
      <c r="G62" s="74"/>
      <c r="H62" s="8"/>
      <c r="I62" s="8"/>
      <c r="J62" s="8"/>
      <c r="K62" s="14"/>
    </row>
    <row r="63" spans="1:11" ht="15.75" customHeight="1">
      <c r="A63" s="7"/>
      <c r="B63" s="8"/>
      <c r="C63" s="8"/>
      <c r="D63" s="11"/>
      <c r="E63" s="11"/>
      <c r="F63" s="8"/>
      <c r="G63" s="13"/>
      <c r="H63" s="8"/>
      <c r="I63" s="8"/>
      <c r="J63" s="8"/>
      <c r="K63" s="14"/>
    </row>
    <row r="64" spans="1:11" ht="15.75" customHeight="1">
      <c r="A64" s="63"/>
      <c r="B64" s="75"/>
      <c r="C64" s="76"/>
      <c r="D64" s="77"/>
      <c r="E64" s="77"/>
      <c r="F64" s="78"/>
      <c r="G64" s="79"/>
      <c r="H64" s="75"/>
      <c r="I64" s="75"/>
      <c r="J64" s="75"/>
      <c r="K64" s="64"/>
    </row>
    <row r="65" spans="4:7" ht="15.75" customHeight="1">
      <c r="D65" s="66"/>
      <c r="F65" s="70"/>
      <c r="G65" s="71"/>
    </row>
    <row r="66" ht="15.75" customHeight="1">
      <c r="D66" s="66"/>
    </row>
    <row r="67" spans="4:30" ht="15.75" customHeight="1">
      <c r="D67" s="66"/>
      <c r="AD67" s="141" t="b">
        <v>0</v>
      </c>
    </row>
    <row r="68" spans="3:30" ht="15.75" customHeight="1">
      <c r="C68" s="65"/>
      <c r="D68" s="66"/>
      <c r="E68" s="67"/>
      <c r="F68" s="70"/>
      <c r="G68" s="71"/>
      <c r="K68" s="72"/>
      <c r="S68" s="151"/>
      <c r="AD68" s="141" t="b">
        <v>1</v>
      </c>
    </row>
    <row r="69" spans="4:30" ht="15.75" customHeight="1">
      <c r="D69" s="66"/>
      <c r="E69" s="67"/>
      <c r="F69" s="70"/>
      <c r="G69" s="71"/>
      <c r="K69" s="72"/>
      <c r="AD69" s="141" t="b">
        <v>1</v>
      </c>
    </row>
    <row r="70" spans="11:30" ht="15.75" customHeight="1">
      <c r="K70" s="72"/>
      <c r="AD70" s="141" t="b">
        <v>0</v>
      </c>
    </row>
    <row r="71" ht="15.75" customHeight="1"/>
    <row r="72" ht="15.75" customHeight="1">
      <c r="AD72" s="141" t="b">
        <v>1</v>
      </c>
    </row>
    <row r="73" ht="13.5">
      <c r="AD73" s="141" t="b">
        <v>1</v>
      </c>
    </row>
  </sheetData>
  <sheetProtection/>
  <mergeCells count="57">
    <mergeCell ref="I55:J55"/>
    <mergeCell ref="E61:F61"/>
    <mergeCell ref="B54:D54"/>
    <mergeCell ref="E54:F54"/>
    <mergeCell ref="B55:C55"/>
    <mergeCell ref="B59:D59"/>
    <mergeCell ref="E59:F59"/>
    <mergeCell ref="B60:C60"/>
    <mergeCell ref="E60:F60"/>
    <mergeCell ref="Q46:Q47"/>
    <mergeCell ref="R46:R47"/>
    <mergeCell ref="P46:P47"/>
    <mergeCell ref="B50:C50"/>
    <mergeCell ref="I21:J21"/>
    <mergeCell ref="I39:J39"/>
    <mergeCell ref="B21:C21"/>
    <mergeCell ref="B25:C25"/>
    <mergeCell ref="B26:C26"/>
    <mergeCell ref="B49:C49"/>
    <mergeCell ref="B34:C34"/>
    <mergeCell ref="B29:C29"/>
    <mergeCell ref="I47:J47"/>
    <mergeCell ref="M27:N27"/>
    <mergeCell ref="I26:J26"/>
    <mergeCell ref="B48:C48"/>
    <mergeCell ref="M32:O32"/>
    <mergeCell ref="M33:M34"/>
    <mergeCell ref="O46:O47"/>
    <mergeCell ref="M9:N9"/>
    <mergeCell ref="B20:C20"/>
    <mergeCell ref="M46:M47"/>
    <mergeCell ref="N46:N47"/>
    <mergeCell ref="M37:M38"/>
    <mergeCell ref="M23:M24"/>
    <mergeCell ref="B47:C47"/>
    <mergeCell ref="I32:J32"/>
    <mergeCell ref="B46:C46"/>
    <mergeCell ref="B32:C32"/>
    <mergeCell ref="B18:C18"/>
    <mergeCell ref="B45:C45"/>
    <mergeCell ref="B36:C36"/>
    <mergeCell ref="B40:C40"/>
    <mergeCell ref="B41:C41"/>
    <mergeCell ref="B43:C43"/>
    <mergeCell ref="B31:C31"/>
    <mergeCell ref="B22:C22"/>
    <mergeCell ref="B28:C28"/>
    <mergeCell ref="Q34:R35"/>
    <mergeCell ref="M35:M36"/>
    <mergeCell ref="B13:C13"/>
    <mergeCell ref="M12:O14"/>
    <mergeCell ref="M16:M17"/>
    <mergeCell ref="B15:C15"/>
    <mergeCell ref="B16:C16"/>
    <mergeCell ref="I12:J12"/>
    <mergeCell ref="B12:C12"/>
    <mergeCell ref="I16:J16"/>
  </mergeCells>
  <conditionalFormatting sqref="J27:J30">
    <cfRule type="cellIs" priority="1" dxfId="0" operator="equal" stopIfTrue="1">
      <formula>$D$29</formula>
    </cfRule>
  </conditionalFormatting>
  <conditionalFormatting sqref="N15">
    <cfRule type="cellIs" priority="2" dxfId="0" operator="equal" stopIfTrue="1">
      <formula>$D$33</formula>
    </cfRule>
  </conditionalFormatting>
  <conditionalFormatting sqref="J22:J24">
    <cfRule type="cellIs" priority="3" dxfId="0" operator="equal" stopIfTrue="1">
      <formula>$D$25</formula>
    </cfRule>
  </conditionalFormatting>
  <conditionalFormatting sqref="J17:J19">
    <cfRule type="cellIs" priority="4" dxfId="0" operator="equal" stopIfTrue="1">
      <formula>$D$21</formula>
    </cfRule>
  </conditionalFormatting>
  <conditionalFormatting sqref="J13:J14">
    <cfRule type="cellIs" priority="5" dxfId="0" operator="equal" stopIfTrue="1">
      <formula>$D$12</formula>
    </cfRule>
  </conditionalFormatting>
  <conditionalFormatting sqref="C56">
    <cfRule type="expression" priority="6" dxfId="0" stopIfTrue="1">
      <formula>$G$56&gt;0</formula>
    </cfRule>
  </conditionalFormatting>
  <conditionalFormatting sqref="C57">
    <cfRule type="expression" priority="7" dxfId="0" stopIfTrue="1">
      <formula>$G$57&gt;0</formula>
    </cfRule>
  </conditionalFormatting>
  <conditionalFormatting sqref="J34">
    <cfRule type="expression" priority="8" dxfId="0" stopIfTrue="1">
      <formula>$D$25=25</formula>
    </cfRule>
  </conditionalFormatting>
  <conditionalFormatting sqref="J35">
    <cfRule type="expression" priority="9" dxfId="0" stopIfTrue="1">
      <formula>$D$25=50</formula>
    </cfRule>
  </conditionalFormatting>
  <conditionalFormatting sqref="J36">
    <cfRule type="expression" priority="10" dxfId="0" stopIfTrue="1">
      <formula>$D$25=75</formula>
    </cfRule>
  </conditionalFormatting>
  <conditionalFormatting sqref="J40:J41">
    <cfRule type="cellIs" priority="11" dxfId="0" operator="equal" stopIfTrue="1">
      <formula>$D$41</formula>
    </cfRule>
  </conditionalFormatting>
  <conditionalFormatting sqref="C61">
    <cfRule type="expression" priority="12" dxfId="0" stopIfTrue="1">
      <formula>$E$66&gt;0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6">
      <selection activeCell="C7" sqref="C7"/>
    </sheetView>
  </sheetViews>
  <sheetFormatPr defaultColWidth="11.421875" defaultRowHeight="12.75"/>
  <cols>
    <col min="1" max="1" width="79.8515625" style="131" customWidth="1"/>
  </cols>
  <sheetData>
    <row r="1" s="125" customFormat="1" ht="12.75">
      <c r="A1" s="133"/>
    </row>
    <row r="2" s="125" customFormat="1" ht="12.75">
      <c r="A2" s="133"/>
    </row>
    <row r="3" s="125" customFormat="1" ht="12.75">
      <c r="A3" s="133"/>
    </row>
    <row r="4" s="125" customFormat="1" ht="12.75">
      <c r="A4" s="133"/>
    </row>
    <row r="5" s="125" customFormat="1" ht="12.75">
      <c r="A5" s="133"/>
    </row>
    <row r="6" s="125" customFormat="1" ht="12.75">
      <c r="A6" s="133"/>
    </row>
    <row r="7" s="125" customFormat="1" ht="12.75">
      <c r="A7" s="134"/>
    </row>
    <row r="8" spans="1:15" ht="12.75">
      <c r="A8" s="135" t="s">
        <v>112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2.75">
      <c r="A9" s="13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12.75">
      <c r="A10" s="134" t="s">
        <v>113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2.75">
      <c r="A11" s="134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ht="12.75">
      <c r="A12" s="134" t="s">
        <v>118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28.5" customHeight="1">
      <c r="A13" s="134" t="s">
        <v>119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28.5" customHeight="1">
      <c r="A14" s="134" t="s">
        <v>120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28.5" customHeight="1">
      <c r="A15" s="134" t="s">
        <v>121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8.5" customHeight="1">
      <c r="A16" s="134" t="s">
        <v>122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28.5" customHeight="1">
      <c r="A17" s="134" t="s">
        <v>123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28.5" customHeight="1">
      <c r="A18" s="134" t="s">
        <v>124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2.75">
      <c r="A19" s="13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2.75">
      <c r="A20" s="134" t="s">
        <v>114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2.75">
      <c r="A21" s="134" t="s">
        <v>134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28.5" customHeight="1">
      <c r="A22" s="134" t="s">
        <v>125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2.75">
      <c r="A23" s="134" t="s">
        <v>126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2.75">
      <c r="A24" s="134" t="s">
        <v>127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2.75">
      <c r="A25" s="134" t="s">
        <v>128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12.75">
      <c r="A26" s="134" t="s">
        <v>135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ht="12.75">
      <c r="A27" s="134" t="s">
        <v>129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2.75">
      <c r="A28" s="134" t="s">
        <v>130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2.75">
      <c r="A29" s="134" t="s">
        <v>131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28.5" customHeight="1">
      <c r="A30" s="134" t="s">
        <v>132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ht="28.5" customHeight="1">
      <c r="A31" s="134" t="s">
        <v>115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2.75">
      <c r="A32" s="13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12.75">
      <c r="A33" s="13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2.75">
      <c r="A34" s="130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12.75">
      <c r="A35" s="130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2008-09-11T07:58:01Z</cp:lastPrinted>
  <dcterms:created xsi:type="dcterms:W3CDTF">2006-04-10T08:55:06Z</dcterms:created>
  <dcterms:modified xsi:type="dcterms:W3CDTF">2014-06-27T08:01:15Z</dcterms:modified>
  <cp:category/>
  <cp:version/>
  <cp:contentType/>
  <cp:contentStatus/>
</cp:coreProperties>
</file>