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9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1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2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3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4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5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6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17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0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21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22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23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24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25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26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27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28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29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32.xml" ContentType="application/vnd.openxmlformats-officedocument.drawingml.chartshapes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35.xml" ContentType="application/vnd.openxmlformats-officedocument.drawingml.chartshapes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38.xml" ContentType="application/vnd.openxmlformats-officedocument.drawingml.chartshapes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41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Q:\FYH\ANÁLISIS ECONÓMICOS\DATOS FEGA - REGEPA\DATOS PROCESADOS 2020\REALIDAD PRODUCTIVA - RESULTADOS FINALES (PRÁCTICAS IRENE)\FRUTOS SECOS\"/>
    </mc:Choice>
  </mc:AlternateContent>
  <bookViews>
    <workbookView xWindow="0" yWindow="0" windowWidth="23040" windowHeight="8805" tabRatio="707" activeTab="2"/>
  </bookViews>
  <sheets>
    <sheet name="INDICE" sheetId="1" r:id="rId1"/>
    <sheet name="Frutos secos TOTAL" sheetId="33" r:id="rId2"/>
    <sheet name="ALM-REPR" sheetId="35" r:id="rId3"/>
    <sheet name="PIS-REPR" sheetId="3" r:id="rId4"/>
    <sheet name="AVE-REPR" sheetId="4" r:id="rId5"/>
    <sheet name="ALG-REPR" sheetId="5" r:id="rId6"/>
    <sheet name="CAS-REPR" sheetId="6" r:id="rId7"/>
    <sheet name="NOG-REPR" sheetId="7" r:id="rId8"/>
    <sheet name="ALM-EDAD" sheetId="8" r:id="rId9"/>
    <sheet name="PIS-EDAD" sheetId="9" r:id="rId10"/>
    <sheet name="CAS-EDAD" sheetId="10" r:id="rId11"/>
    <sheet name="AVE-EDAD" sheetId="27" r:id="rId12"/>
    <sheet name="ALG-EDAD" sheetId="31" r:id="rId13"/>
    <sheet name="NOG-EDAD" sheetId="30" r:id="rId14"/>
    <sheet name="ALM-PEND" sheetId="11" r:id="rId15"/>
    <sheet name="PIS-PEND" sheetId="12" r:id="rId16"/>
    <sheet name="AVE-PEND" sheetId="13" r:id="rId17"/>
    <sheet name="ALG-PEND" sheetId="14" r:id="rId18"/>
    <sheet name="CAS-PEND" sheetId="15" r:id="rId19"/>
    <sheet name="NOG-PEND" sheetId="16" r:id="rId20"/>
    <sheet name="ALM-EXPL" sheetId="17" r:id="rId21"/>
    <sheet name="PIS-EXPL" sheetId="18" r:id="rId22"/>
    <sheet name="AVE-EXPL" sheetId="20" r:id="rId23"/>
    <sheet name="ALG-EXPL" sheetId="19" r:id="rId24"/>
    <sheet name="CAS-EXPL" sheetId="21" r:id="rId25"/>
    <sheet name="NOG-EXPL" sheetId="22" r:id="rId26"/>
    <sheet name="ALM-VAR" sheetId="23" r:id="rId27"/>
    <sheet name="PIS-VAR" sheetId="24" r:id="rId28"/>
    <sheet name="AVE-VAR" sheetId="25" r:id="rId29"/>
    <sheet name="ALG-VAR" sheetId="26" r:id="rId30"/>
    <sheet name="ALM-VAR-EDAD" sheetId="36" r:id="rId31"/>
    <sheet name="PIST-VAR-EDAD" sheetId="37" r:id="rId3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7" i="35" l="1"/>
  <c r="AF69" i="30" l="1"/>
  <c r="AF68" i="30"/>
  <c r="AC69" i="30"/>
  <c r="I118" i="3"/>
  <c r="E52" i="36"/>
  <c r="B52" i="36"/>
  <c r="B25" i="36"/>
  <c r="E25" i="36"/>
  <c r="S15" i="23" l="1"/>
  <c r="S17" i="23"/>
  <c r="S16" i="23"/>
  <c r="K124" i="35"/>
  <c r="AF42" i="10" l="1"/>
  <c r="AE42" i="10"/>
  <c r="AF50" i="27"/>
  <c r="AJ46" i="31" l="1"/>
  <c r="AK46" i="31" s="1"/>
  <c r="AJ45" i="31"/>
  <c r="AK45" i="31" s="1"/>
  <c r="AJ44" i="31"/>
  <c r="AI46" i="31"/>
  <c r="AI45" i="31"/>
  <c r="AI44" i="31"/>
  <c r="AK44" i="31"/>
  <c r="J79" i="4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24" i="37"/>
  <c r="F6" i="37"/>
  <c r="C7" i="37"/>
  <c r="C8" i="37"/>
  <c r="C9" i="37"/>
  <c r="C10" i="37"/>
  <c r="C11" i="37"/>
  <c r="C12" i="37"/>
  <c r="C13" i="37"/>
  <c r="C14" i="37"/>
  <c r="C15" i="37"/>
  <c r="C16" i="37"/>
  <c r="C17" i="37"/>
  <c r="C19" i="37"/>
  <c r="F7" i="37"/>
  <c r="F8" i="37"/>
  <c r="F9" i="37"/>
  <c r="F10" i="37"/>
  <c r="F11" i="37"/>
  <c r="F12" i="37"/>
  <c r="F13" i="37"/>
  <c r="F14" i="37"/>
  <c r="F15" i="37"/>
  <c r="F16" i="37"/>
  <c r="F17" i="37"/>
  <c r="F19" i="37"/>
  <c r="C6" i="37"/>
  <c r="B18" i="37"/>
  <c r="C18" i="37" s="1"/>
  <c r="B36" i="37"/>
  <c r="E36" i="37"/>
  <c r="E18" i="37"/>
  <c r="F18" i="37" s="1"/>
  <c r="F34" i="36" l="1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33" i="36"/>
  <c r="F6" i="36"/>
  <c r="F26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33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C7" i="36"/>
  <c r="C8" i="36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6" i="36"/>
  <c r="V41" i="16" l="1"/>
  <c r="U41" i="16"/>
  <c r="T41" i="16"/>
  <c r="S41" i="16"/>
  <c r="R41" i="16"/>
  <c r="V40" i="16"/>
  <c r="U40" i="16"/>
  <c r="T40" i="16"/>
  <c r="S40" i="16"/>
  <c r="R40" i="16"/>
  <c r="V39" i="16"/>
  <c r="U39" i="16"/>
  <c r="T39" i="16"/>
  <c r="S39" i="16"/>
  <c r="R39" i="16"/>
  <c r="V38" i="16"/>
  <c r="U38" i="16"/>
  <c r="T38" i="16"/>
  <c r="S38" i="16"/>
  <c r="R38" i="16"/>
  <c r="V37" i="16"/>
  <c r="U37" i="16"/>
  <c r="T37" i="16"/>
  <c r="S37" i="16"/>
  <c r="R37" i="16"/>
  <c r="V36" i="16"/>
  <c r="U36" i="16"/>
  <c r="T36" i="16"/>
  <c r="S36" i="16"/>
  <c r="R36" i="16"/>
  <c r="V35" i="16"/>
  <c r="U35" i="16"/>
  <c r="T35" i="16"/>
  <c r="S35" i="16"/>
  <c r="R35" i="16"/>
  <c r="V34" i="16"/>
  <c r="U34" i="16"/>
  <c r="T34" i="16"/>
  <c r="S34" i="16"/>
  <c r="R34" i="16"/>
  <c r="V33" i="16"/>
  <c r="U33" i="16"/>
  <c r="T33" i="16"/>
  <c r="S33" i="16"/>
  <c r="R33" i="16"/>
  <c r="V32" i="16"/>
  <c r="U32" i="16"/>
  <c r="T32" i="16"/>
  <c r="S32" i="16"/>
  <c r="R32" i="16"/>
  <c r="V31" i="16"/>
  <c r="U31" i="16"/>
  <c r="T31" i="16"/>
  <c r="S31" i="16"/>
  <c r="R31" i="16"/>
  <c r="V30" i="16"/>
  <c r="U30" i="16"/>
  <c r="T30" i="16"/>
  <c r="S30" i="16"/>
  <c r="R30" i="16"/>
  <c r="V29" i="16"/>
  <c r="U29" i="16"/>
  <c r="T29" i="16"/>
  <c r="S29" i="16"/>
  <c r="R29" i="16"/>
  <c r="V28" i="16"/>
  <c r="U28" i="16"/>
  <c r="T28" i="16"/>
  <c r="S28" i="16"/>
  <c r="R28" i="16"/>
  <c r="V27" i="16"/>
  <c r="U27" i="16"/>
  <c r="T27" i="16"/>
  <c r="S27" i="16"/>
  <c r="R27" i="16"/>
  <c r="V26" i="16"/>
  <c r="U26" i="16"/>
  <c r="T26" i="16"/>
  <c r="S26" i="16"/>
  <c r="R26" i="16"/>
  <c r="V25" i="16"/>
  <c r="U25" i="16"/>
  <c r="T25" i="16"/>
  <c r="S25" i="16"/>
  <c r="R25" i="16"/>
  <c r="V41" i="15"/>
  <c r="U41" i="15"/>
  <c r="T41" i="15"/>
  <c r="S41" i="15"/>
  <c r="R41" i="15"/>
  <c r="V40" i="15"/>
  <c r="U40" i="15"/>
  <c r="T40" i="15"/>
  <c r="S40" i="15"/>
  <c r="R40" i="15"/>
  <c r="V39" i="15"/>
  <c r="U39" i="15"/>
  <c r="T39" i="15"/>
  <c r="S39" i="15"/>
  <c r="R39" i="15"/>
  <c r="V38" i="15"/>
  <c r="U38" i="15"/>
  <c r="T38" i="15"/>
  <c r="S38" i="15"/>
  <c r="R38" i="15"/>
  <c r="V37" i="15"/>
  <c r="U37" i="15"/>
  <c r="T37" i="15"/>
  <c r="S37" i="15"/>
  <c r="R37" i="15"/>
  <c r="V36" i="15"/>
  <c r="U36" i="15"/>
  <c r="T36" i="15"/>
  <c r="S36" i="15"/>
  <c r="R36" i="15"/>
  <c r="V35" i="15"/>
  <c r="U35" i="15"/>
  <c r="T35" i="15"/>
  <c r="S35" i="15"/>
  <c r="R35" i="15"/>
  <c r="V34" i="15"/>
  <c r="U34" i="15"/>
  <c r="T34" i="15"/>
  <c r="S34" i="15"/>
  <c r="R34" i="15"/>
  <c r="V33" i="15"/>
  <c r="U33" i="15"/>
  <c r="T33" i="15"/>
  <c r="S33" i="15"/>
  <c r="R33" i="15"/>
  <c r="V32" i="15"/>
  <c r="U32" i="15"/>
  <c r="T32" i="15"/>
  <c r="S32" i="15"/>
  <c r="R32" i="15"/>
  <c r="V31" i="15"/>
  <c r="U31" i="15"/>
  <c r="T31" i="15"/>
  <c r="S31" i="15"/>
  <c r="R31" i="15"/>
  <c r="V30" i="15"/>
  <c r="U30" i="15"/>
  <c r="T30" i="15"/>
  <c r="S30" i="15"/>
  <c r="R30" i="15"/>
  <c r="V29" i="15"/>
  <c r="U29" i="15"/>
  <c r="T29" i="15"/>
  <c r="S29" i="15"/>
  <c r="R29" i="15"/>
  <c r="V28" i="15"/>
  <c r="U28" i="15"/>
  <c r="T28" i="15"/>
  <c r="S28" i="15"/>
  <c r="R28" i="15"/>
  <c r="V27" i="15"/>
  <c r="U27" i="15"/>
  <c r="T27" i="15"/>
  <c r="S27" i="15"/>
  <c r="R27" i="15"/>
  <c r="V26" i="15"/>
  <c r="U26" i="15"/>
  <c r="T26" i="15"/>
  <c r="S26" i="15"/>
  <c r="R26" i="15"/>
  <c r="V25" i="15"/>
  <c r="U25" i="15"/>
  <c r="T25" i="15"/>
  <c r="S25" i="15"/>
  <c r="R25" i="15"/>
  <c r="V41" i="14"/>
  <c r="U41" i="14"/>
  <c r="T41" i="14"/>
  <c r="S41" i="14"/>
  <c r="R41" i="14"/>
  <c r="V40" i="14"/>
  <c r="U40" i="14"/>
  <c r="T40" i="14"/>
  <c r="S40" i="14"/>
  <c r="R40" i="14"/>
  <c r="V39" i="14"/>
  <c r="U39" i="14"/>
  <c r="T39" i="14"/>
  <c r="S39" i="14"/>
  <c r="R39" i="14"/>
  <c r="V38" i="14"/>
  <c r="U38" i="14"/>
  <c r="T38" i="14"/>
  <c r="S38" i="14"/>
  <c r="R38" i="14"/>
  <c r="V37" i="14"/>
  <c r="U37" i="14"/>
  <c r="T37" i="14"/>
  <c r="S37" i="14"/>
  <c r="R37" i="14"/>
  <c r="V36" i="14"/>
  <c r="U36" i="14"/>
  <c r="T36" i="14"/>
  <c r="S36" i="14"/>
  <c r="R36" i="14"/>
  <c r="V35" i="14"/>
  <c r="U35" i="14"/>
  <c r="T35" i="14"/>
  <c r="S35" i="14"/>
  <c r="R35" i="14"/>
  <c r="V34" i="14"/>
  <c r="U34" i="14"/>
  <c r="T34" i="14"/>
  <c r="S34" i="14"/>
  <c r="R34" i="14"/>
  <c r="V33" i="14"/>
  <c r="U33" i="14"/>
  <c r="T33" i="14"/>
  <c r="S33" i="14"/>
  <c r="R33" i="14"/>
  <c r="V32" i="14"/>
  <c r="U32" i="14"/>
  <c r="T32" i="14"/>
  <c r="S32" i="14"/>
  <c r="R32" i="14"/>
  <c r="V31" i="14"/>
  <c r="U31" i="14"/>
  <c r="T31" i="14"/>
  <c r="S31" i="14"/>
  <c r="R31" i="14"/>
  <c r="V30" i="14"/>
  <c r="U30" i="14"/>
  <c r="T30" i="14"/>
  <c r="S30" i="14"/>
  <c r="R30" i="14"/>
  <c r="V29" i="14"/>
  <c r="U29" i="14"/>
  <c r="T29" i="14"/>
  <c r="S29" i="14"/>
  <c r="R29" i="14"/>
  <c r="V28" i="14"/>
  <c r="U28" i="14"/>
  <c r="T28" i="14"/>
  <c r="S28" i="14"/>
  <c r="R28" i="14"/>
  <c r="V27" i="14"/>
  <c r="U27" i="14"/>
  <c r="T27" i="14"/>
  <c r="S27" i="14"/>
  <c r="R27" i="14"/>
  <c r="V26" i="14"/>
  <c r="U26" i="14"/>
  <c r="T26" i="14"/>
  <c r="S26" i="14"/>
  <c r="R26" i="14"/>
  <c r="V25" i="14"/>
  <c r="U25" i="14"/>
  <c r="T25" i="14"/>
  <c r="S25" i="14"/>
  <c r="R25" i="14"/>
  <c r="V41" i="13"/>
  <c r="U41" i="13"/>
  <c r="T41" i="13"/>
  <c r="S41" i="13"/>
  <c r="R41" i="13"/>
  <c r="V40" i="13"/>
  <c r="U40" i="13"/>
  <c r="T40" i="13"/>
  <c r="S40" i="13"/>
  <c r="R40" i="13"/>
  <c r="V39" i="13"/>
  <c r="U39" i="13"/>
  <c r="T39" i="13"/>
  <c r="S39" i="13"/>
  <c r="R39" i="13"/>
  <c r="V38" i="13"/>
  <c r="U38" i="13"/>
  <c r="T38" i="13"/>
  <c r="S38" i="13"/>
  <c r="R38" i="13"/>
  <c r="V37" i="13"/>
  <c r="U37" i="13"/>
  <c r="T37" i="13"/>
  <c r="S37" i="13"/>
  <c r="R37" i="13"/>
  <c r="V36" i="13"/>
  <c r="U36" i="13"/>
  <c r="T36" i="13"/>
  <c r="S36" i="13"/>
  <c r="R36" i="13"/>
  <c r="V35" i="13"/>
  <c r="U35" i="13"/>
  <c r="T35" i="13"/>
  <c r="S35" i="13"/>
  <c r="R35" i="13"/>
  <c r="V34" i="13"/>
  <c r="U34" i="13"/>
  <c r="T34" i="13"/>
  <c r="S34" i="13"/>
  <c r="R34" i="13"/>
  <c r="V33" i="13"/>
  <c r="U33" i="13"/>
  <c r="T33" i="13"/>
  <c r="S33" i="13"/>
  <c r="R33" i="13"/>
  <c r="V32" i="13"/>
  <c r="U32" i="13"/>
  <c r="T32" i="13"/>
  <c r="S32" i="13"/>
  <c r="R32" i="13"/>
  <c r="V31" i="13"/>
  <c r="U31" i="13"/>
  <c r="T31" i="13"/>
  <c r="S31" i="13"/>
  <c r="R31" i="13"/>
  <c r="V30" i="13"/>
  <c r="U30" i="13"/>
  <c r="T30" i="13"/>
  <c r="S30" i="13"/>
  <c r="R30" i="13"/>
  <c r="V29" i="13"/>
  <c r="U29" i="13"/>
  <c r="T29" i="13"/>
  <c r="S29" i="13"/>
  <c r="R29" i="13"/>
  <c r="V28" i="13"/>
  <c r="U28" i="13"/>
  <c r="T28" i="13"/>
  <c r="S28" i="13"/>
  <c r="R28" i="13"/>
  <c r="V27" i="13"/>
  <c r="U27" i="13"/>
  <c r="T27" i="13"/>
  <c r="S27" i="13"/>
  <c r="R27" i="13"/>
  <c r="V26" i="13"/>
  <c r="U26" i="13"/>
  <c r="T26" i="13"/>
  <c r="S26" i="13"/>
  <c r="R26" i="13"/>
  <c r="V25" i="13"/>
  <c r="U25" i="13"/>
  <c r="T25" i="13"/>
  <c r="S25" i="13"/>
  <c r="R25" i="13"/>
  <c r="V41" i="12"/>
  <c r="U41" i="12"/>
  <c r="T41" i="12"/>
  <c r="S41" i="12"/>
  <c r="R41" i="12"/>
  <c r="V40" i="12"/>
  <c r="U40" i="12"/>
  <c r="T40" i="12"/>
  <c r="S40" i="12"/>
  <c r="R40" i="12"/>
  <c r="V39" i="12"/>
  <c r="U39" i="12"/>
  <c r="T39" i="12"/>
  <c r="S39" i="12"/>
  <c r="R39" i="12"/>
  <c r="V38" i="12"/>
  <c r="U38" i="12"/>
  <c r="T38" i="12"/>
  <c r="S38" i="12"/>
  <c r="R38" i="12"/>
  <c r="V37" i="12"/>
  <c r="U37" i="12"/>
  <c r="T37" i="12"/>
  <c r="S37" i="12"/>
  <c r="R37" i="12"/>
  <c r="V36" i="12"/>
  <c r="U36" i="12"/>
  <c r="T36" i="12"/>
  <c r="S36" i="12"/>
  <c r="R36" i="12"/>
  <c r="V35" i="12"/>
  <c r="U35" i="12"/>
  <c r="T35" i="12"/>
  <c r="S35" i="12"/>
  <c r="R35" i="12"/>
  <c r="V34" i="12"/>
  <c r="U34" i="12"/>
  <c r="T34" i="12"/>
  <c r="S34" i="12"/>
  <c r="R34" i="12"/>
  <c r="V33" i="12"/>
  <c r="U33" i="12"/>
  <c r="T33" i="12"/>
  <c r="S33" i="12"/>
  <c r="R33" i="12"/>
  <c r="V32" i="12"/>
  <c r="U32" i="12"/>
  <c r="T32" i="12"/>
  <c r="S32" i="12"/>
  <c r="R32" i="12"/>
  <c r="V31" i="12"/>
  <c r="U31" i="12"/>
  <c r="T31" i="12"/>
  <c r="S31" i="12"/>
  <c r="R31" i="12"/>
  <c r="V30" i="12"/>
  <c r="U30" i="12"/>
  <c r="T30" i="12"/>
  <c r="S30" i="12"/>
  <c r="R30" i="12"/>
  <c r="V29" i="12"/>
  <c r="U29" i="12"/>
  <c r="T29" i="12"/>
  <c r="S29" i="12"/>
  <c r="R29" i="12"/>
  <c r="V28" i="12"/>
  <c r="U28" i="12"/>
  <c r="T28" i="12"/>
  <c r="S28" i="12"/>
  <c r="R28" i="12"/>
  <c r="V27" i="12"/>
  <c r="U27" i="12"/>
  <c r="T27" i="12"/>
  <c r="S27" i="12"/>
  <c r="R27" i="12"/>
  <c r="V26" i="12"/>
  <c r="U26" i="12"/>
  <c r="T26" i="12"/>
  <c r="S26" i="12"/>
  <c r="R26" i="12"/>
  <c r="V25" i="12"/>
  <c r="U25" i="12"/>
  <c r="T25" i="12"/>
  <c r="S25" i="12"/>
  <c r="R25" i="12"/>
  <c r="N20" i="16"/>
  <c r="M20" i="16"/>
  <c r="L20" i="16"/>
  <c r="K20" i="16"/>
  <c r="J20" i="16"/>
  <c r="N19" i="16"/>
  <c r="M19" i="16"/>
  <c r="L19" i="16"/>
  <c r="K19" i="16"/>
  <c r="J19" i="16"/>
  <c r="N18" i="16"/>
  <c r="M18" i="16"/>
  <c r="L18" i="16"/>
  <c r="K18" i="16"/>
  <c r="J18" i="16"/>
  <c r="N17" i="16"/>
  <c r="M17" i="16"/>
  <c r="L17" i="16"/>
  <c r="K17" i="16"/>
  <c r="J17" i="16"/>
  <c r="N16" i="16"/>
  <c r="M16" i="16"/>
  <c r="L16" i="16"/>
  <c r="K16" i="16"/>
  <c r="J16" i="16"/>
  <c r="N15" i="16"/>
  <c r="M15" i="16"/>
  <c r="L15" i="16"/>
  <c r="K15" i="16"/>
  <c r="J15" i="16"/>
  <c r="N14" i="16"/>
  <c r="M14" i="16"/>
  <c r="L14" i="16"/>
  <c r="K14" i="16"/>
  <c r="J14" i="16"/>
  <c r="N13" i="16"/>
  <c r="M13" i="16"/>
  <c r="L13" i="16"/>
  <c r="K13" i="16"/>
  <c r="J13" i="16"/>
  <c r="N12" i="16"/>
  <c r="M12" i="16"/>
  <c r="L12" i="16"/>
  <c r="K12" i="16"/>
  <c r="J12" i="16"/>
  <c r="N11" i="16"/>
  <c r="M11" i="16"/>
  <c r="L11" i="16"/>
  <c r="K11" i="16"/>
  <c r="J11" i="16"/>
  <c r="N10" i="16"/>
  <c r="M10" i="16"/>
  <c r="L10" i="16"/>
  <c r="K10" i="16"/>
  <c r="J10" i="16"/>
  <c r="N9" i="16"/>
  <c r="M9" i="16"/>
  <c r="L9" i="16"/>
  <c r="K9" i="16"/>
  <c r="J9" i="16"/>
  <c r="N8" i="16"/>
  <c r="M8" i="16"/>
  <c r="L8" i="16"/>
  <c r="K8" i="16"/>
  <c r="J8" i="16"/>
  <c r="N7" i="16"/>
  <c r="M7" i="16"/>
  <c r="L7" i="16"/>
  <c r="K7" i="16"/>
  <c r="J7" i="16"/>
  <c r="N6" i="16"/>
  <c r="M6" i="16"/>
  <c r="L6" i="16"/>
  <c r="K6" i="16"/>
  <c r="J6" i="16"/>
  <c r="N5" i="16"/>
  <c r="M5" i="16"/>
  <c r="L5" i="16"/>
  <c r="K5" i="16"/>
  <c r="J5" i="16"/>
  <c r="N4" i="16"/>
  <c r="M4" i="16"/>
  <c r="L4" i="16"/>
  <c r="K4" i="16"/>
  <c r="J4" i="16"/>
  <c r="M20" i="15"/>
  <c r="N20" i="15"/>
  <c r="L20" i="15"/>
  <c r="K20" i="15"/>
  <c r="J20" i="15"/>
  <c r="N19" i="15"/>
  <c r="M19" i="15"/>
  <c r="L19" i="15"/>
  <c r="K19" i="15"/>
  <c r="J19" i="15"/>
  <c r="N18" i="15"/>
  <c r="M18" i="15"/>
  <c r="L18" i="15"/>
  <c r="K18" i="15"/>
  <c r="J18" i="15"/>
  <c r="N17" i="15"/>
  <c r="M17" i="15"/>
  <c r="L17" i="15"/>
  <c r="K17" i="15"/>
  <c r="J17" i="15"/>
  <c r="N16" i="15"/>
  <c r="M16" i="15"/>
  <c r="L16" i="15"/>
  <c r="K16" i="15"/>
  <c r="J16" i="15"/>
  <c r="N15" i="15"/>
  <c r="M15" i="15"/>
  <c r="L15" i="15"/>
  <c r="K15" i="15"/>
  <c r="J15" i="15"/>
  <c r="N14" i="15"/>
  <c r="M14" i="15"/>
  <c r="L14" i="15"/>
  <c r="K14" i="15"/>
  <c r="J14" i="15"/>
  <c r="N13" i="15"/>
  <c r="M13" i="15"/>
  <c r="L13" i="15"/>
  <c r="K13" i="15"/>
  <c r="J13" i="15"/>
  <c r="N12" i="15"/>
  <c r="M12" i="15"/>
  <c r="L12" i="15"/>
  <c r="K12" i="15"/>
  <c r="J12" i="15"/>
  <c r="N11" i="15"/>
  <c r="M11" i="15"/>
  <c r="L11" i="15"/>
  <c r="K11" i="15"/>
  <c r="J11" i="15"/>
  <c r="N10" i="15"/>
  <c r="M10" i="15"/>
  <c r="L10" i="15"/>
  <c r="K10" i="15"/>
  <c r="J10" i="15"/>
  <c r="N9" i="15"/>
  <c r="M9" i="15"/>
  <c r="L9" i="15"/>
  <c r="K9" i="15"/>
  <c r="J9" i="15"/>
  <c r="N8" i="15"/>
  <c r="M8" i="15"/>
  <c r="L8" i="15"/>
  <c r="K8" i="15"/>
  <c r="J8" i="15"/>
  <c r="N7" i="15"/>
  <c r="M7" i="15"/>
  <c r="L7" i="15"/>
  <c r="K7" i="15"/>
  <c r="J7" i="15"/>
  <c r="N6" i="15"/>
  <c r="M6" i="15"/>
  <c r="L6" i="15"/>
  <c r="K6" i="15"/>
  <c r="J6" i="15"/>
  <c r="N5" i="15"/>
  <c r="M5" i="15"/>
  <c r="L5" i="15"/>
  <c r="K5" i="15"/>
  <c r="J5" i="15"/>
  <c r="N4" i="15"/>
  <c r="M4" i="15"/>
  <c r="L4" i="15"/>
  <c r="K4" i="15"/>
  <c r="J4" i="15"/>
  <c r="N20" i="14"/>
  <c r="M20" i="14"/>
  <c r="L20" i="14"/>
  <c r="K20" i="14"/>
  <c r="J20" i="14"/>
  <c r="N19" i="14"/>
  <c r="M19" i="14"/>
  <c r="L19" i="14"/>
  <c r="K19" i="14"/>
  <c r="J19" i="14"/>
  <c r="N18" i="14"/>
  <c r="M18" i="14"/>
  <c r="L18" i="14"/>
  <c r="K18" i="14"/>
  <c r="J18" i="14"/>
  <c r="N17" i="14"/>
  <c r="M17" i="14"/>
  <c r="L17" i="14"/>
  <c r="K17" i="14"/>
  <c r="J17" i="14"/>
  <c r="N16" i="14"/>
  <c r="M16" i="14"/>
  <c r="L16" i="14"/>
  <c r="K16" i="14"/>
  <c r="J16" i="14"/>
  <c r="N15" i="14"/>
  <c r="M15" i="14"/>
  <c r="L15" i="14"/>
  <c r="K15" i="14"/>
  <c r="J15" i="14"/>
  <c r="N14" i="14"/>
  <c r="M14" i="14"/>
  <c r="L14" i="14"/>
  <c r="K14" i="14"/>
  <c r="J14" i="14"/>
  <c r="N13" i="14"/>
  <c r="M13" i="14"/>
  <c r="L13" i="14"/>
  <c r="K13" i="14"/>
  <c r="J13" i="14"/>
  <c r="N12" i="14"/>
  <c r="M12" i="14"/>
  <c r="L12" i="14"/>
  <c r="K12" i="14"/>
  <c r="J12" i="14"/>
  <c r="N11" i="14"/>
  <c r="M11" i="14"/>
  <c r="L11" i="14"/>
  <c r="K11" i="14"/>
  <c r="J11" i="14"/>
  <c r="N10" i="14"/>
  <c r="M10" i="14"/>
  <c r="L10" i="14"/>
  <c r="K10" i="14"/>
  <c r="J10" i="14"/>
  <c r="N9" i="14"/>
  <c r="M9" i="14"/>
  <c r="L9" i="14"/>
  <c r="K9" i="14"/>
  <c r="J9" i="14"/>
  <c r="N8" i="14"/>
  <c r="M8" i="14"/>
  <c r="L8" i="14"/>
  <c r="K8" i="14"/>
  <c r="J8" i="14"/>
  <c r="N7" i="14"/>
  <c r="M7" i="14"/>
  <c r="L7" i="14"/>
  <c r="K7" i="14"/>
  <c r="J7" i="14"/>
  <c r="N6" i="14"/>
  <c r="M6" i="14"/>
  <c r="L6" i="14"/>
  <c r="K6" i="14"/>
  <c r="J6" i="14"/>
  <c r="N5" i="14"/>
  <c r="M5" i="14"/>
  <c r="L5" i="14"/>
  <c r="K5" i="14"/>
  <c r="J5" i="14"/>
  <c r="N4" i="14"/>
  <c r="J4" i="14"/>
  <c r="M4" i="14"/>
  <c r="L4" i="14"/>
  <c r="K4" i="14"/>
  <c r="J4" i="13"/>
  <c r="N19" i="13"/>
  <c r="M19" i="13"/>
  <c r="L19" i="13"/>
  <c r="K19" i="13"/>
  <c r="J19" i="13"/>
  <c r="N18" i="13"/>
  <c r="M18" i="13"/>
  <c r="L18" i="13"/>
  <c r="K18" i="13"/>
  <c r="J18" i="13"/>
  <c r="N17" i="13"/>
  <c r="M17" i="13"/>
  <c r="L17" i="13"/>
  <c r="K17" i="13"/>
  <c r="J17" i="13"/>
  <c r="N16" i="13"/>
  <c r="M16" i="13"/>
  <c r="L16" i="13"/>
  <c r="K16" i="13"/>
  <c r="J16" i="13"/>
  <c r="N15" i="13"/>
  <c r="M15" i="13"/>
  <c r="L15" i="13"/>
  <c r="K15" i="13"/>
  <c r="J15" i="13"/>
  <c r="N14" i="13"/>
  <c r="M14" i="13"/>
  <c r="L14" i="13"/>
  <c r="K14" i="13"/>
  <c r="J14" i="13"/>
  <c r="N13" i="13"/>
  <c r="M13" i="13"/>
  <c r="L13" i="13"/>
  <c r="K13" i="13"/>
  <c r="J13" i="13"/>
  <c r="N12" i="13"/>
  <c r="M12" i="13"/>
  <c r="L12" i="13"/>
  <c r="K12" i="13"/>
  <c r="J12" i="13"/>
  <c r="N11" i="13"/>
  <c r="M11" i="13"/>
  <c r="L11" i="13"/>
  <c r="K11" i="13"/>
  <c r="J11" i="13"/>
  <c r="N10" i="13"/>
  <c r="M10" i="13"/>
  <c r="L10" i="13"/>
  <c r="K10" i="13"/>
  <c r="J10" i="13"/>
  <c r="N9" i="13"/>
  <c r="M9" i="13"/>
  <c r="L9" i="13"/>
  <c r="K9" i="13"/>
  <c r="J9" i="13"/>
  <c r="N8" i="13"/>
  <c r="M8" i="13"/>
  <c r="L8" i="13"/>
  <c r="K8" i="13"/>
  <c r="J8" i="13"/>
  <c r="N7" i="13"/>
  <c r="M7" i="13"/>
  <c r="L7" i="13"/>
  <c r="K7" i="13"/>
  <c r="J7" i="13"/>
  <c r="N6" i="13"/>
  <c r="M6" i="13"/>
  <c r="L6" i="13"/>
  <c r="K6" i="13"/>
  <c r="J6" i="13"/>
  <c r="N5" i="13"/>
  <c r="M5" i="13"/>
  <c r="L5" i="13"/>
  <c r="K5" i="13"/>
  <c r="J5" i="13"/>
  <c r="N4" i="13"/>
  <c r="M4" i="13"/>
  <c r="L4" i="13"/>
  <c r="K4" i="13"/>
  <c r="N20" i="12"/>
  <c r="M20" i="12"/>
  <c r="L20" i="12"/>
  <c r="K20" i="12"/>
  <c r="J20" i="12"/>
  <c r="N19" i="12"/>
  <c r="M19" i="12"/>
  <c r="L19" i="12"/>
  <c r="K19" i="12"/>
  <c r="J19" i="12"/>
  <c r="N18" i="12"/>
  <c r="M18" i="12"/>
  <c r="L18" i="12"/>
  <c r="K18" i="12"/>
  <c r="J18" i="12"/>
  <c r="N17" i="12"/>
  <c r="M17" i="12"/>
  <c r="L17" i="12"/>
  <c r="K17" i="12"/>
  <c r="J17" i="12"/>
  <c r="N16" i="12"/>
  <c r="M16" i="12"/>
  <c r="L16" i="12"/>
  <c r="K16" i="12"/>
  <c r="J16" i="12"/>
  <c r="N15" i="12"/>
  <c r="M15" i="12"/>
  <c r="L15" i="12"/>
  <c r="K15" i="12"/>
  <c r="J15" i="12"/>
  <c r="N14" i="12"/>
  <c r="M14" i="12"/>
  <c r="L14" i="12"/>
  <c r="K14" i="12"/>
  <c r="J14" i="12"/>
  <c r="N13" i="12"/>
  <c r="M13" i="12"/>
  <c r="L13" i="12"/>
  <c r="K13" i="12"/>
  <c r="J13" i="12"/>
  <c r="N12" i="12"/>
  <c r="M12" i="12"/>
  <c r="L12" i="12"/>
  <c r="K12" i="12"/>
  <c r="J12" i="12"/>
  <c r="N11" i="12"/>
  <c r="M11" i="12"/>
  <c r="L11" i="12"/>
  <c r="K11" i="12"/>
  <c r="J11" i="12"/>
  <c r="N10" i="12"/>
  <c r="M10" i="12"/>
  <c r="L10" i="12"/>
  <c r="K10" i="12"/>
  <c r="J10" i="12"/>
  <c r="N9" i="12"/>
  <c r="M9" i="12"/>
  <c r="L9" i="12"/>
  <c r="K9" i="12"/>
  <c r="J9" i="12"/>
  <c r="N8" i="12"/>
  <c r="M8" i="12"/>
  <c r="L8" i="12"/>
  <c r="K8" i="12"/>
  <c r="J8" i="12"/>
  <c r="N7" i="12"/>
  <c r="M7" i="12"/>
  <c r="L7" i="12"/>
  <c r="K7" i="12"/>
  <c r="J7" i="12"/>
  <c r="N6" i="12"/>
  <c r="M6" i="12"/>
  <c r="L6" i="12"/>
  <c r="K6" i="12"/>
  <c r="J6" i="12"/>
  <c r="N5" i="12"/>
  <c r="M5" i="12"/>
  <c r="L5" i="12"/>
  <c r="K5" i="12"/>
  <c r="J5" i="12"/>
  <c r="N4" i="12"/>
  <c r="M4" i="12"/>
  <c r="L4" i="12"/>
  <c r="K4" i="12"/>
  <c r="J4" i="12"/>
  <c r="S25" i="11"/>
  <c r="U25" i="11"/>
  <c r="E69" i="30"/>
  <c r="F69" i="30"/>
  <c r="F70" i="30" s="1"/>
  <c r="E70" i="30"/>
  <c r="D70" i="30"/>
  <c r="D69" i="30"/>
  <c r="C69" i="30"/>
  <c r="E66" i="31"/>
  <c r="F66" i="31"/>
  <c r="F67" i="31" s="1"/>
  <c r="E67" i="31"/>
  <c r="D67" i="31"/>
  <c r="D66" i="31"/>
  <c r="C66" i="31"/>
  <c r="E28" i="31"/>
  <c r="F28" i="31"/>
  <c r="F29" i="31" s="1"/>
  <c r="E29" i="31"/>
  <c r="D29" i="31"/>
  <c r="D28" i="31"/>
  <c r="C28" i="31"/>
  <c r="W102" i="27"/>
  <c r="D103" i="27"/>
  <c r="D102" i="27"/>
  <c r="E102" i="27"/>
  <c r="F102" i="27"/>
  <c r="F103" i="27" s="1"/>
  <c r="E103" i="27"/>
  <c r="C102" i="27"/>
  <c r="Y44" i="31"/>
  <c r="Y65" i="31" s="1"/>
  <c r="E51" i="27"/>
  <c r="E52" i="27" s="1"/>
  <c r="F51" i="27"/>
  <c r="F52" i="27" s="1"/>
  <c r="D52" i="27"/>
  <c r="D51" i="27"/>
  <c r="C51" i="27"/>
  <c r="D42" i="10"/>
  <c r="C42" i="10"/>
  <c r="E42" i="10"/>
  <c r="F42" i="10"/>
  <c r="F43" i="10" s="1"/>
  <c r="E43" i="10"/>
  <c r="D43" i="10"/>
  <c r="C125" i="9"/>
  <c r="D125" i="9" s="1"/>
  <c r="E125" i="9" s="1"/>
  <c r="F125" i="9" s="1"/>
  <c r="G125" i="9" s="1"/>
  <c r="H125" i="9" s="1"/>
  <c r="I125" i="9" s="1"/>
  <c r="J125" i="9" s="1"/>
  <c r="K125" i="9" s="1"/>
  <c r="L125" i="9" s="1"/>
  <c r="M125" i="9" s="1"/>
  <c r="N125" i="9" s="1"/>
  <c r="O125" i="9" s="1"/>
  <c r="P125" i="9" s="1"/>
  <c r="Q125" i="9" s="1"/>
  <c r="R125" i="9" s="1"/>
  <c r="S125" i="9" s="1"/>
  <c r="T125" i="9" s="1"/>
  <c r="U125" i="9" s="1"/>
  <c r="V125" i="9" s="1"/>
  <c r="W125" i="9" s="1"/>
  <c r="G69" i="30" l="1"/>
  <c r="G66" i="31"/>
  <c r="G28" i="31"/>
  <c r="G102" i="27"/>
  <c r="G51" i="27"/>
  <c r="G42" i="10"/>
  <c r="S9" i="7"/>
  <c r="S10" i="7"/>
  <c r="S11" i="7"/>
  <c r="S12" i="7"/>
  <c r="S13" i="7"/>
  <c r="S14" i="7"/>
  <c r="S8" i="7"/>
  <c r="R8" i="7"/>
  <c r="R9" i="7"/>
  <c r="R10" i="7"/>
  <c r="R11" i="7"/>
  <c r="R12" i="7"/>
  <c r="R13" i="7"/>
  <c r="R14" i="7"/>
  <c r="Q14" i="7"/>
  <c r="Q13" i="7"/>
  <c r="Q12" i="7"/>
  <c r="Q11" i="7"/>
  <c r="Q10" i="7"/>
  <c r="Q9" i="7"/>
  <c r="Q8" i="7"/>
  <c r="N9" i="7"/>
  <c r="N10" i="7"/>
  <c r="N11" i="7"/>
  <c r="N12" i="7"/>
  <c r="N13" i="7"/>
  <c r="N14" i="7"/>
  <c r="N8" i="7"/>
  <c r="M14" i="7"/>
  <c r="M13" i="7"/>
  <c r="M12" i="7"/>
  <c r="M11" i="7"/>
  <c r="M10" i="7"/>
  <c r="M9" i="7"/>
  <c r="M8" i="7"/>
  <c r="L14" i="7"/>
  <c r="L13" i="7"/>
  <c r="L12" i="7"/>
  <c r="L11" i="7"/>
  <c r="L10" i="7"/>
  <c r="L9" i="7"/>
  <c r="L8" i="7"/>
  <c r="R8" i="6"/>
  <c r="R9" i="6"/>
  <c r="S9" i="6" s="1"/>
  <c r="R10" i="6"/>
  <c r="R11" i="6"/>
  <c r="Q11" i="6"/>
  <c r="Q10" i="6"/>
  <c r="Q9" i="6"/>
  <c r="Q8" i="6"/>
  <c r="M11" i="6"/>
  <c r="N11" i="6" s="1"/>
  <c r="M10" i="6"/>
  <c r="M9" i="6"/>
  <c r="M8" i="6"/>
  <c r="L11" i="6"/>
  <c r="L10" i="6"/>
  <c r="N10" i="6" s="1"/>
  <c r="L9" i="6"/>
  <c r="N9" i="6" s="1"/>
  <c r="L8" i="6"/>
  <c r="S8" i="6"/>
  <c r="N8" i="6"/>
  <c r="M45" i="5"/>
  <c r="M44" i="5"/>
  <c r="M43" i="5"/>
  <c r="M42" i="5"/>
  <c r="M41" i="5"/>
  <c r="M13" i="5"/>
  <c r="M12" i="5"/>
  <c r="M11" i="5"/>
  <c r="M10" i="5"/>
  <c r="M9" i="5"/>
  <c r="S61" i="4"/>
  <c r="R61" i="4"/>
  <c r="Q61" i="4"/>
  <c r="N61" i="4"/>
  <c r="M61" i="4"/>
  <c r="L61" i="4"/>
  <c r="R9" i="4"/>
  <c r="R10" i="4"/>
  <c r="Q10" i="4"/>
  <c r="Q9" i="4"/>
  <c r="N9" i="4"/>
  <c r="M10" i="4"/>
  <c r="M9" i="4"/>
  <c r="L10" i="4"/>
  <c r="L9" i="4"/>
  <c r="R68" i="3"/>
  <c r="R69" i="3"/>
  <c r="R70" i="3"/>
  <c r="R71" i="3"/>
  <c r="R72" i="3"/>
  <c r="Q72" i="3"/>
  <c r="S72" i="3" s="1"/>
  <c r="Q71" i="3"/>
  <c r="Q70" i="3"/>
  <c r="Q69" i="3"/>
  <c r="Q68" i="3"/>
  <c r="S68" i="3" s="1"/>
  <c r="N69" i="3"/>
  <c r="N70" i="3"/>
  <c r="N71" i="3"/>
  <c r="N72" i="3"/>
  <c r="N68" i="3"/>
  <c r="M72" i="3"/>
  <c r="L72" i="3"/>
  <c r="M71" i="3"/>
  <c r="L71" i="3"/>
  <c r="M70" i="3"/>
  <c r="L70" i="3"/>
  <c r="M69" i="3"/>
  <c r="L69" i="3"/>
  <c r="M68" i="3"/>
  <c r="L68" i="3"/>
  <c r="S71" i="3"/>
  <c r="S70" i="3"/>
  <c r="G70" i="30" l="1"/>
  <c r="H69" i="30"/>
  <c r="H66" i="31"/>
  <c r="G67" i="31"/>
  <c r="H28" i="31"/>
  <c r="G29" i="31"/>
  <c r="G103" i="27"/>
  <c r="H102" i="27"/>
  <c r="G52" i="27"/>
  <c r="H51" i="27"/>
  <c r="G43" i="10"/>
  <c r="H42" i="10"/>
  <c r="S11" i="6"/>
  <c r="S10" i="6"/>
  <c r="S10" i="4"/>
  <c r="S9" i="4"/>
  <c r="N10" i="4"/>
  <c r="S69" i="3"/>
  <c r="I69" i="30" l="1"/>
  <c r="H70" i="30"/>
  <c r="I66" i="31"/>
  <c r="H67" i="31"/>
  <c r="I28" i="31"/>
  <c r="H29" i="31"/>
  <c r="I102" i="27"/>
  <c r="H103" i="27"/>
  <c r="I51" i="27"/>
  <c r="H52" i="27"/>
  <c r="I42" i="10"/>
  <c r="H43" i="10"/>
  <c r="R8" i="3"/>
  <c r="S8" i="3" s="1"/>
  <c r="R9" i="3"/>
  <c r="S9" i="3" s="1"/>
  <c r="R10" i="3"/>
  <c r="R11" i="3"/>
  <c r="R12" i="3"/>
  <c r="Q12" i="3"/>
  <c r="Q11" i="3"/>
  <c r="Q10" i="3"/>
  <c r="S10" i="3" s="1"/>
  <c r="Q9" i="3"/>
  <c r="Q8" i="3"/>
  <c r="M12" i="3"/>
  <c r="L12" i="3"/>
  <c r="N12" i="3" s="1"/>
  <c r="M11" i="3"/>
  <c r="L11" i="3"/>
  <c r="M10" i="3"/>
  <c r="L10" i="3"/>
  <c r="M9" i="3"/>
  <c r="L9" i="3"/>
  <c r="N8" i="3"/>
  <c r="M8" i="3"/>
  <c r="L8" i="3"/>
  <c r="S12" i="3"/>
  <c r="I70" i="30" l="1"/>
  <c r="J69" i="30"/>
  <c r="J66" i="31"/>
  <c r="I67" i="31"/>
  <c r="J28" i="31"/>
  <c r="I29" i="31"/>
  <c r="J102" i="27"/>
  <c r="I103" i="27"/>
  <c r="J51" i="27"/>
  <c r="I52" i="27"/>
  <c r="I43" i="10"/>
  <c r="J42" i="10"/>
  <c r="S11" i="3"/>
  <c r="N11" i="3"/>
  <c r="N10" i="3"/>
  <c r="N9" i="3"/>
  <c r="J70" i="30" l="1"/>
  <c r="K69" i="30"/>
  <c r="J67" i="31"/>
  <c r="K66" i="31"/>
  <c r="J29" i="31"/>
  <c r="K28" i="31"/>
  <c r="J103" i="27"/>
  <c r="K102" i="27"/>
  <c r="K51" i="27"/>
  <c r="J52" i="27"/>
  <c r="J43" i="10"/>
  <c r="K42" i="10"/>
  <c r="AC5" i="31"/>
  <c r="AB5" i="31"/>
  <c r="N6" i="26"/>
  <c r="L69" i="30" l="1"/>
  <c r="K70" i="30"/>
  <c r="K67" i="31"/>
  <c r="L66" i="31"/>
  <c r="K29" i="31"/>
  <c r="L28" i="31"/>
  <c r="L102" i="27"/>
  <c r="K103" i="27"/>
  <c r="L51" i="27"/>
  <c r="K52" i="27"/>
  <c r="L42" i="10"/>
  <c r="K43" i="10"/>
  <c r="M28" i="26"/>
  <c r="Q17" i="26" s="1"/>
  <c r="R17" i="26" s="1"/>
  <c r="M26" i="26"/>
  <c r="M24" i="26"/>
  <c r="M18" i="26"/>
  <c r="M14" i="26"/>
  <c r="M6" i="26"/>
  <c r="Y5" i="31"/>
  <c r="Y27" i="31" s="1"/>
  <c r="R48" i="26"/>
  <c r="Q48" i="26"/>
  <c r="M55" i="26"/>
  <c r="M45" i="26"/>
  <c r="M41" i="26"/>
  <c r="M34" i="26"/>
  <c r="N53" i="26"/>
  <c r="R22" i="25"/>
  <c r="Q22" i="25"/>
  <c r="N85" i="25"/>
  <c r="M51" i="25"/>
  <c r="M74" i="25"/>
  <c r="M85" i="25" s="1"/>
  <c r="Q68" i="25" s="1"/>
  <c r="R68" i="25" s="1"/>
  <c r="M71" i="25"/>
  <c r="M45" i="25"/>
  <c r="M30" i="25"/>
  <c r="M23" i="25"/>
  <c r="M15" i="25"/>
  <c r="M13" i="25"/>
  <c r="N30" i="25"/>
  <c r="N6" i="25"/>
  <c r="B51" i="25"/>
  <c r="M69" i="30" l="1"/>
  <c r="L70" i="30"/>
  <c r="M66" i="31"/>
  <c r="L67" i="31"/>
  <c r="M28" i="31"/>
  <c r="L29" i="31"/>
  <c r="M102" i="27"/>
  <c r="L103" i="27"/>
  <c r="L52" i="27"/>
  <c r="M51" i="27"/>
  <c r="M42" i="10"/>
  <c r="L43" i="10"/>
  <c r="N57" i="25"/>
  <c r="N69" i="30" l="1"/>
  <c r="M70" i="30"/>
  <c r="M67" i="31"/>
  <c r="N66" i="31"/>
  <c r="N28" i="31"/>
  <c r="M29" i="31"/>
  <c r="N102" i="27"/>
  <c r="M103" i="27"/>
  <c r="N51" i="27"/>
  <c r="M52" i="27"/>
  <c r="M43" i="10"/>
  <c r="N42" i="10"/>
  <c r="R77" i="24"/>
  <c r="B71" i="24"/>
  <c r="B95" i="24"/>
  <c r="AC124" i="9"/>
  <c r="C68" i="3"/>
  <c r="AB124" i="9"/>
  <c r="AD119" i="9"/>
  <c r="AD118" i="9"/>
  <c r="AC119" i="9"/>
  <c r="R21" i="24"/>
  <c r="N15" i="24"/>
  <c r="N39" i="24"/>
  <c r="S78" i="23"/>
  <c r="S19" i="23"/>
  <c r="S8" i="23"/>
  <c r="B64" i="35"/>
  <c r="O115" i="23"/>
  <c r="O114" i="23"/>
  <c r="O113" i="23"/>
  <c r="O112" i="23"/>
  <c r="O111" i="23"/>
  <c r="O110" i="23"/>
  <c r="O109" i="23"/>
  <c r="O108" i="23"/>
  <c r="O107" i="23"/>
  <c r="O106" i="23"/>
  <c r="O105" i="23"/>
  <c r="O104" i="23"/>
  <c r="O103" i="23"/>
  <c r="O102" i="23"/>
  <c r="O101" i="23"/>
  <c r="O100" i="23"/>
  <c r="O99" i="23"/>
  <c r="O98" i="23"/>
  <c r="O97" i="23"/>
  <c r="O96" i="23"/>
  <c r="O95" i="23"/>
  <c r="O94" i="23"/>
  <c r="O93" i="23"/>
  <c r="O92" i="23"/>
  <c r="O91" i="23"/>
  <c r="O90" i="23"/>
  <c r="O89" i="23"/>
  <c r="O88" i="23"/>
  <c r="O87" i="23"/>
  <c r="O86" i="23"/>
  <c r="O85" i="23"/>
  <c r="O84" i="23"/>
  <c r="O83" i="23"/>
  <c r="O82" i="23"/>
  <c r="O81" i="23"/>
  <c r="O80" i="23"/>
  <c r="O79" i="23"/>
  <c r="O78" i="23"/>
  <c r="O77" i="23"/>
  <c r="O76" i="23"/>
  <c r="O75" i="23"/>
  <c r="O74" i="23"/>
  <c r="O73" i="23"/>
  <c r="O72" i="23"/>
  <c r="O71" i="23"/>
  <c r="O70" i="23"/>
  <c r="O69" i="23"/>
  <c r="O68" i="23"/>
  <c r="O67" i="23"/>
  <c r="O66" i="23"/>
  <c r="O65" i="23"/>
  <c r="O6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N70" i="30" l="1"/>
  <c r="O69" i="30"/>
  <c r="N67" i="31"/>
  <c r="O66" i="31"/>
  <c r="N29" i="31"/>
  <c r="O28" i="31"/>
  <c r="N103" i="27"/>
  <c r="O102" i="27"/>
  <c r="O51" i="27"/>
  <c r="N52" i="27"/>
  <c r="N43" i="10"/>
  <c r="O42" i="10"/>
  <c r="F15" i="23"/>
  <c r="F39" i="23"/>
  <c r="O70" i="30" l="1"/>
  <c r="P69" i="30"/>
  <c r="P66" i="31"/>
  <c r="O67" i="31"/>
  <c r="O29" i="31"/>
  <c r="P28" i="31"/>
  <c r="O103" i="27"/>
  <c r="P102" i="27"/>
  <c r="O52" i="27"/>
  <c r="P51" i="27"/>
  <c r="O43" i="10"/>
  <c r="P42" i="10"/>
  <c r="J5" i="17"/>
  <c r="Q69" i="30" l="1"/>
  <c r="P70" i="30"/>
  <c r="Q66" i="31"/>
  <c r="P67" i="31"/>
  <c r="Q28" i="31"/>
  <c r="P29" i="31"/>
  <c r="Q102" i="27"/>
  <c r="P103" i="27"/>
  <c r="Q51" i="27"/>
  <c r="P52" i="27"/>
  <c r="Q42" i="10"/>
  <c r="P43" i="10"/>
  <c r="N20" i="13"/>
  <c r="M20" i="13"/>
  <c r="L20" i="13"/>
  <c r="K20" i="13"/>
  <c r="J20" i="13"/>
  <c r="O25" i="12"/>
  <c r="L25" i="11"/>
  <c r="Q70" i="30" l="1"/>
  <c r="R69" i="30"/>
  <c r="R66" i="31"/>
  <c r="Q67" i="31"/>
  <c r="Q29" i="31"/>
  <c r="R28" i="31"/>
  <c r="Q103" i="27"/>
  <c r="R102" i="27"/>
  <c r="R51" i="27"/>
  <c r="Q52" i="27"/>
  <c r="R42" i="10"/>
  <c r="Q43" i="10"/>
  <c r="N25" i="11"/>
  <c r="AU78" i="9"/>
  <c r="AU79" i="9"/>
  <c r="AU80" i="9"/>
  <c r="AU81" i="9"/>
  <c r="AU82" i="9"/>
  <c r="AU77" i="9"/>
  <c r="U41" i="11"/>
  <c r="T41" i="11"/>
  <c r="S41" i="11"/>
  <c r="R41" i="11"/>
  <c r="Q41" i="11"/>
  <c r="U39" i="11"/>
  <c r="T39" i="11"/>
  <c r="S39" i="11"/>
  <c r="R39" i="11"/>
  <c r="Q39" i="11"/>
  <c r="U38" i="11"/>
  <c r="T38" i="11"/>
  <c r="S38" i="11"/>
  <c r="R38" i="11"/>
  <c r="Q38" i="11"/>
  <c r="U37" i="11"/>
  <c r="T37" i="11"/>
  <c r="S37" i="11"/>
  <c r="R37" i="11"/>
  <c r="Q37" i="11"/>
  <c r="U36" i="11"/>
  <c r="T36" i="11"/>
  <c r="S36" i="11"/>
  <c r="R36" i="11"/>
  <c r="Q36" i="11"/>
  <c r="U35" i="11"/>
  <c r="T35" i="11"/>
  <c r="S35" i="11"/>
  <c r="R35" i="11"/>
  <c r="Q35" i="11"/>
  <c r="U33" i="11"/>
  <c r="T33" i="11"/>
  <c r="S33" i="11"/>
  <c r="R33" i="11"/>
  <c r="Q33" i="11"/>
  <c r="U32" i="11"/>
  <c r="T32" i="11"/>
  <c r="S32" i="11"/>
  <c r="R32" i="11"/>
  <c r="Q32" i="11"/>
  <c r="U30" i="11"/>
  <c r="T30" i="11"/>
  <c r="S30" i="11"/>
  <c r="R30" i="11"/>
  <c r="Q30" i="11"/>
  <c r="U29" i="11"/>
  <c r="T29" i="11"/>
  <c r="S29" i="11"/>
  <c r="R29" i="11"/>
  <c r="Q29" i="11"/>
  <c r="U28" i="11"/>
  <c r="T28" i="11"/>
  <c r="S28" i="11"/>
  <c r="R28" i="11"/>
  <c r="Q28" i="11"/>
  <c r="U26" i="11"/>
  <c r="T26" i="11"/>
  <c r="S26" i="11"/>
  <c r="R26" i="11"/>
  <c r="Q26" i="11"/>
  <c r="T25" i="11"/>
  <c r="R25" i="11"/>
  <c r="Q25" i="11"/>
  <c r="R70" i="30" l="1"/>
  <c r="S69" i="30"/>
  <c r="R67" i="31"/>
  <c r="S66" i="31"/>
  <c r="R29" i="31"/>
  <c r="S28" i="31"/>
  <c r="R103" i="27"/>
  <c r="S102" i="27"/>
  <c r="S51" i="27"/>
  <c r="R52" i="27"/>
  <c r="R43" i="10"/>
  <c r="S42" i="10"/>
  <c r="M20" i="11"/>
  <c r="L20" i="11"/>
  <c r="K20" i="11"/>
  <c r="J20" i="11"/>
  <c r="I20" i="11"/>
  <c r="M19" i="11"/>
  <c r="L19" i="11"/>
  <c r="K19" i="11"/>
  <c r="J19" i="11"/>
  <c r="I19" i="11"/>
  <c r="M18" i="11"/>
  <c r="L18" i="11"/>
  <c r="K18" i="11"/>
  <c r="J18" i="11"/>
  <c r="I18" i="11"/>
  <c r="M17" i="11"/>
  <c r="L17" i="11"/>
  <c r="K17" i="11"/>
  <c r="J17" i="11"/>
  <c r="I17" i="11"/>
  <c r="M16" i="11"/>
  <c r="L16" i="11"/>
  <c r="K16" i="11"/>
  <c r="J16" i="11"/>
  <c r="I16" i="11"/>
  <c r="M15" i="11"/>
  <c r="L15" i="11"/>
  <c r="K15" i="11"/>
  <c r="J15" i="11"/>
  <c r="I15" i="11"/>
  <c r="M14" i="11"/>
  <c r="L14" i="11"/>
  <c r="K14" i="11"/>
  <c r="J14" i="11"/>
  <c r="I14" i="11"/>
  <c r="M12" i="11"/>
  <c r="L12" i="11"/>
  <c r="K12" i="11"/>
  <c r="J12" i="11"/>
  <c r="I12" i="11"/>
  <c r="M11" i="11"/>
  <c r="L11" i="11"/>
  <c r="K11" i="11"/>
  <c r="J11" i="11"/>
  <c r="I11" i="11"/>
  <c r="M10" i="11"/>
  <c r="L10" i="11"/>
  <c r="K10" i="11"/>
  <c r="J10" i="11"/>
  <c r="I10" i="11"/>
  <c r="M9" i="11"/>
  <c r="L9" i="11"/>
  <c r="K9" i="11"/>
  <c r="J9" i="11"/>
  <c r="I9" i="11"/>
  <c r="M8" i="11"/>
  <c r="L8" i="11"/>
  <c r="K8" i="11"/>
  <c r="J8" i="11"/>
  <c r="I8" i="11"/>
  <c r="M7" i="11"/>
  <c r="L7" i="11"/>
  <c r="K7" i="11"/>
  <c r="J7" i="11"/>
  <c r="I7" i="11"/>
  <c r="M5" i="11"/>
  <c r="L5" i="11"/>
  <c r="K5" i="11"/>
  <c r="J5" i="11"/>
  <c r="I5" i="11"/>
  <c r="M4" i="11"/>
  <c r="I4" i="11"/>
  <c r="L4" i="11"/>
  <c r="K4" i="11"/>
  <c r="J4" i="11"/>
  <c r="I25" i="11"/>
  <c r="J25" i="11"/>
  <c r="K25" i="11"/>
  <c r="I26" i="11"/>
  <c r="J26" i="11"/>
  <c r="K26" i="11"/>
  <c r="L26" i="11"/>
  <c r="I27" i="11"/>
  <c r="J27" i="11"/>
  <c r="K27" i="11"/>
  <c r="L27" i="11"/>
  <c r="I28" i="11"/>
  <c r="J28" i="11"/>
  <c r="K28" i="11"/>
  <c r="L28" i="11"/>
  <c r="I29" i="11"/>
  <c r="J29" i="11"/>
  <c r="K29" i="11"/>
  <c r="L29" i="11"/>
  <c r="I30" i="11"/>
  <c r="J30" i="11"/>
  <c r="K30" i="11"/>
  <c r="L30" i="11"/>
  <c r="I31" i="11"/>
  <c r="J31" i="11"/>
  <c r="K31" i="11"/>
  <c r="L31" i="11"/>
  <c r="I32" i="11"/>
  <c r="J32" i="11"/>
  <c r="K32" i="11"/>
  <c r="L32" i="11"/>
  <c r="I33" i="11"/>
  <c r="J33" i="11"/>
  <c r="K33" i="11"/>
  <c r="L33" i="11"/>
  <c r="I34" i="11"/>
  <c r="J34" i="11"/>
  <c r="K34" i="11"/>
  <c r="L34" i="11"/>
  <c r="I35" i="11"/>
  <c r="J35" i="11"/>
  <c r="K35" i="11"/>
  <c r="L35" i="11"/>
  <c r="I36" i="11"/>
  <c r="J36" i="11"/>
  <c r="K36" i="11"/>
  <c r="L36" i="11"/>
  <c r="I37" i="11"/>
  <c r="J37" i="11"/>
  <c r="K37" i="11"/>
  <c r="L37" i="11"/>
  <c r="I38" i="11"/>
  <c r="J38" i="11"/>
  <c r="K38" i="11"/>
  <c r="L38" i="11"/>
  <c r="I39" i="11"/>
  <c r="J39" i="11"/>
  <c r="K39" i="11"/>
  <c r="L39" i="11"/>
  <c r="I40" i="11"/>
  <c r="J40" i="11"/>
  <c r="K40" i="11"/>
  <c r="L40" i="11"/>
  <c r="I41" i="11"/>
  <c r="J41" i="11"/>
  <c r="K41" i="11"/>
  <c r="L41" i="11"/>
  <c r="T69" i="30" l="1"/>
  <c r="S70" i="30"/>
  <c r="S67" i="31"/>
  <c r="T66" i="31"/>
  <c r="T28" i="31"/>
  <c r="S29" i="31"/>
  <c r="T102" i="27"/>
  <c r="S103" i="27"/>
  <c r="T51" i="27"/>
  <c r="S52" i="27"/>
  <c r="T42" i="10"/>
  <c r="S43" i="10"/>
  <c r="AU4" i="30"/>
  <c r="AT8" i="30"/>
  <c r="AU8" i="30" s="1"/>
  <c r="AT7" i="30"/>
  <c r="AU7" i="30" s="1"/>
  <c r="AT6" i="30"/>
  <c r="AT5" i="30"/>
  <c r="AT4" i="30"/>
  <c r="AS8" i="30"/>
  <c r="AS7" i="30"/>
  <c r="AS6" i="30"/>
  <c r="AS5" i="30"/>
  <c r="AS4" i="30"/>
  <c r="AU6" i="30"/>
  <c r="AU5" i="30"/>
  <c r="AE68" i="30"/>
  <c r="AD68" i="30"/>
  <c r="AC68" i="30"/>
  <c r="AB68" i="30"/>
  <c r="AD67" i="30"/>
  <c r="AC67" i="30"/>
  <c r="AB67" i="30"/>
  <c r="AE67" i="30" s="1"/>
  <c r="AF67" i="30" s="1"/>
  <c r="AD66" i="30"/>
  <c r="AC66" i="30"/>
  <c r="AB66" i="30"/>
  <c r="AE66" i="30" s="1"/>
  <c r="AD65" i="30"/>
  <c r="AC65" i="30"/>
  <c r="AB65" i="30"/>
  <c r="AE65" i="30" s="1"/>
  <c r="AF65" i="30" s="1"/>
  <c r="AE64" i="30"/>
  <c r="AD64" i="30"/>
  <c r="AC64" i="30"/>
  <c r="AF64" i="30" s="1"/>
  <c r="AB64" i="30"/>
  <c r="AD63" i="30"/>
  <c r="AC63" i="30"/>
  <c r="AB63" i="30"/>
  <c r="AE63" i="30" s="1"/>
  <c r="AF63" i="30" s="1"/>
  <c r="AD62" i="30"/>
  <c r="AC62" i="30"/>
  <c r="AB62" i="30"/>
  <c r="AE62" i="30" s="1"/>
  <c r="AD61" i="30"/>
  <c r="AC61" i="30"/>
  <c r="AF61" i="30" s="1"/>
  <c r="AB61" i="30"/>
  <c r="AE61" i="30" s="1"/>
  <c r="AE60" i="30"/>
  <c r="AD60" i="30"/>
  <c r="AC60" i="30"/>
  <c r="AF60" i="30" s="1"/>
  <c r="AB60" i="30"/>
  <c r="AD59" i="30"/>
  <c r="AC59" i="30"/>
  <c r="AB59" i="30"/>
  <c r="AE59" i="30" s="1"/>
  <c r="AF59" i="30" s="1"/>
  <c r="AD58" i="30"/>
  <c r="AC58" i="30"/>
  <c r="AB58" i="30"/>
  <c r="AE58" i="30" s="1"/>
  <c r="AD57" i="30"/>
  <c r="AC57" i="30"/>
  <c r="AB57" i="30"/>
  <c r="AE57" i="30" s="1"/>
  <c r="AE56" i="30"/>
  <c r="AD56" i="30"/>
  <c r="AC56" i="30"/>
  <c r="AF56" i="30" s="1"/>
  <c r="AB56" i="30"/>
  <c r="AD55" i="30"/>
  <c r="AC55" i="30"/>
  <c r="AB55" i="30"/>
  <c r="AE55" i="30" s="1"/>
  <c r="AF55" i="30" s="1"/>
  <c r="AD54" i="30"/>
  <c r="AC54" i="30"/>
  <c r="AF54" i="30" s="1"/>
  <c r="AB54" i="30"/>
  <c r="AE54" i="30" s="1"/>
  <c r="AD53" i="30"/>
  <c r="AC53" i="30"/>
  <c r="AB53" i="30"/>
  <c r="AE53" i="30" s="1"/>
  <c r="AE52" i="30"/>
  <c r="AD52" i="30"/>
  <c r="AC52" i="30"/>
  <c r="AF52" i="30" s="1"/>
  <c r="AB52" i="30"/>
  <c r="AD51" i="30"/>
  <c r="AC51" i="30"/>
  <c r="AB51" i="30"/>
  <c r="AE51" i="30" s="1"/>
  <c r="AF51" i="30" s="1"/>
  <c r="AD50" i="30"/>
  <c r="AC50" i="30"/>
  <c r="AF50" i="30" s="1"/>
  <c r="AB50" i="30"/>
  <c r="AE50" i="30" s="1"/>
  <c r="AD49" i="30"/>
  <c r="AC49" i="30"/>
  <c r="AF49" i="30" s="1"/>
  <c r="AB49" i="30"/>
  <c r="AE49" i="30" s="1"/>
  <c r="AE48" i="30"/>
  <c r="AD48" i="30"/>
  <c r="AC48" i="30"/>
  <c r="AF48" i="30" s="1"/>
  <c r="AB48" i="30"/>
  <c r="AD47" i="30"/>
  <c r="AC47" i="30"/>
  <c r="AB47" i="30"/>
  <c r="AE47" i="30" s="1"/>
  <c r="AF47" i="30" s="1"/>
  <c r="AD46" i="30"/>
  <c r="AC46" i="30"/>
  <c r="AB46" i="30"/>
  <c r="AE46" i="30" s="1"/>
  <c r="AD45" i="30"/>
  <c r="AC45" i="30"/>
  <c r="AF45" i="30" s="1"/>
  <c r="AB45" i="30"/>
  <c r="AE45" i="30" s="1"/>
  <c r="AE44" i="30"/>
  <c r="AD44" i="30"/>
  <c r="AC44" i="30"/>
  <c r="AF44" i="30" s="1"/>
  <c r="AB44" i="30"/>
  <c r="AD43" i="30"/>
  <c r="AC43" i="30"/>
  <c r="AB43" i="30"/>
  <c r="AE43" i="30" s="1"/>
  <c r="AF43" i="30" s="1"/>
  <c r="AD42" i="30"/>
  <c r="AC42" i="30"/>
  <c r="AB42" i="30"/>
  <c r="AE42" i="30" s="1"/>
  <c r="AD41" i="30"/>
  <c r="AC41" i="30"/>
  <c r="AB41" i="30"/>
  <c r="AE41" i="30" s="1"/>
  <c r="AE40" i="30"/>
  <c r="AD40" i="30"/>
  <c r="AC40" i="30"/>
  <c r="AF40" i="30" s="1"/>
  <c r="AB40" i="30"/>
  <c r="AD39" i="30"/>
  <c r="AC39" i="30"/>
  <c r="AB39" i="30"/>
  <c r="AE39" i="30" s="1"/>
  <c r="AF39" i="30" s="1"/>
  <c r="AD38" i="30"/>
  <c r="AC38" i="30"/>
  <c r="AF38" i="30" s="1"/>
  <c r="AB38" i="30"/>
  <c r="AE38" i="30" s="1"/>
  <c r="AD37" i="30"/>
  <c r="AC37" i="30"/>
  <c r="AB37" i="30"/>
  <c r="AE37" i="30" s="1"/>
  <c r="AE36" i="30"/>
  <c r="AD36" i="30"/>
  <c r="AC36" i="30"/>
  <c r="AF36" i="30" s="1"/>
  <c r="AB36" i="30"/>
  <c r="AD35" i="30"/>
  <c r="AC35" i="30"/>
  <c r="AB35" i="30"/>
  <c r="AE35" i="30" s="1"/>
  <c r="AF35" i="30" s="1"/>
  <c r="AD34" i="30"/>
  <c r="AC34" i="30"/>
  <c r="AB34" i="30"/>
  <c r="AE34" i="30" s="1"/>
  <c r="AD33" i="30"/>
  <c r="AC33" i="30"/>
  <c r="AF33" i="30" s="1"/>
  <c r="AB33" i="30"/>
  <c r="AE33" i="30" s="1"/>
  <c r="AE32" i="30"/>
  <c r="AD32" i="30"/>
  <c r="AC32" i="30"/>
  <c r="AF32" i="30" s="1"/>
  <c r="AB32" i="30"/>
  <c r="AD31" i="30"/>
  <c r="AC31" i="30"/>
  <c r="AB31" i="30"/>
  <c r="AE31" i="30" s="1"/>
  <c r="AF31" i="30" s="1"/>
  <c r="AD30" i="30"/>
  <c r="AC30" i="30"/>
  <c r="AB30" i="30"/>
  <c r="AE30" i="30" s="1"/>
  <c r="AD29" i="30"/>
  <c r="AC29" i="30"/>
  <c r="AB29" i="30"/>
  <c r="AE29" i="30" s="1"/>
  <c r="AE28" i="30"/>
  <c r="AD28" i="30"/>
  <c r="AC28" i="30"/>
  <c r="AF28" i="30" s="1"/>
  <c r="AB28" i="30"/>
  <c r="AD27" i="30"/>
  <c r="AC27" i="30"/>
  <c r="AB27" i="30"/>
  <c r="AE27" i="30" s="1"/>
  <c r="AF27" i="30" s="1"/>
  <c r="AD26" i="30"/>
  <c r="AC26" i="30"/>
  <c r="AB26" i="30"/>
  <c r="AE26" i="30" s="1"/>
  <c r="AD25" i="30"/>
  <c r="AC25" i="30"/>
  <c r="AB25" i="30"/>
  <c r="AE25" i="30" s="1"/>
  <c r="AE24" i="30"/>
  <c r="AD24" i="30"/>
  <c r="AC24" i="30"/>
  <c r="AF24" i="30" s="1"/>
  <c r="AB24" i="30"/>
  <c r="AD23" i="30"/>
  <c r="AC23" i="30"/>
  <c r="AB23" i="30"/>
  <c r="AE23" i="30" s="1"/>
  <c r="AF23" i="30" s="1"/>
  <c r="AD22" i="30"/>
  <c r="AC22" i="30"/>
  <c r="AF22" i="30" s="1"/>
  <c r="AB22" i="30"/>
  <c r="AE22" i="30" s="1"/>
  <c r="AD21" i="30"/>
  <c r="AC21" i="30"/>
  <c r="AB21" i="30"/>
  <c r="AE21" i="30" s="1"/>
  <c r="AE20" i="30"/>
  <c r="AD20" i="30"/>
  <c r="AC20" i="30"/>
  <c r="AF20" i="30" s="1"/>
  <c r="AB20" i="30"/>
  <c r="AD19" i="30"/>
  <c r="AC19" i="30"/>
  <c r="AB19" i="30"/>
  <c r="AE19" i="30" s="1"/>
  <c r="AF19" i="30" s="1"/>
  <c r="AD18" i="30"/>
  <c r="AC18" i="30"/>
  <c r="AB18" i="30"/>
  <c r="AE18" i="30" s="1"/>
  <c r="AD17" i="30"/>
  <c r="AC17" i="30"/>
  <c r="AF17" i="30" s="1"/>
  <c r="AB17" i="30"/>
  <c r="AE17" i="30" s="1"/>
  <c r="AE16" i="30"/>
  <c r="AD16" i="30"/>
  <c r="AC16" i="30"/>
  <c r="AF16" i="30" s="1"/>
  <c r="AB16" i="30"/>
  <c r="AD15" i="30"/>
  <c r="AC15" i="30"/>
  <c r="AB15" i="30"/>
  <c r="AE15" i="30" s="1"/>
  <c r="AF15" i="30" s="1"/>
  <c r="AD14" i="30"/>
  <c r="AC14" i="30"/>
  <c r="AB14" i="30"/>
  <c r="AE14" i="30" s="1"/>
  <c r="AD13" i="30"/>
  <c r="AC13" i="30"/>
  <c r="AB13" i="30"/>
  <c r="AE13" i="30" s="1"/>
  <c r="AE12" i="30"/>
  <c r="AD12" i="30"/>
  <c r="AC12" i="30"/>
  <c r="AF12" i="30" s="1"/>
  <c r="AB12" i="30"/>
  <c r="AD11" i="30"/>
  <c r="AC11" i="30"/>
  <c r="AB11" i="30"/>
  <c r="AE11" i="30" s="1"/>
  <c r="AF11" i="30" s="1"/>
  <c r="AD10" i="30"/>
  <c r="AC10" i="30"/>
  <c r="AB10" i="30"/>
  <c r="AE10" i="30" s="1"/>
  <c r="AD9" i="30"/>
  <c r="AC9" i="30"/>
  <c r="AB9" i="30"/>
  <c r="AE9" i="30" s="1"/>
  <c r="AE8" i="30"/>
  <c r="AD8" i="30"/>
  <c r="AC8" i="30"/>
  <c r="AF8" i="30" s="1"/>
  <c r="AB8" i="30"/>
  <c r="AD7" i="30"/>
  <c r="AC7" i="30"/>
  <c r="AB7" i="30"/>
  <c r="AE7" i="30" s="1"/>
  <c r="AF7" i="30" s="1"/>
  <c r="AD6" i="30"/>
  <c r="AC6" i="30"/>
  <c r="AF6" i="30" s="1"/>
  <c r="AB6" i="30"/>
  <c r="AE6" i="30" s="1"/>
  <c r="AD5" i="30"/>
  <c r="AC5" i="30"/>
  <c r="AB5" i="30"/>
  <c r="AE5" i="30" s="1"/>
  <c r="AF4" i="30"/>
  <c r="AE4" i="30"/>
  <c r="AD4" i="30"/>
  <c r="AC4" i="30"/>
  <c r="AB4" i="30"/>
  <c r="AC64" i="31"/>
  <c r="AC63" i="31"/>
  <c r="AF63" i="31" s="1"/>
  <c r="AC62" i="31"/>
  <c r="AC61" i="31"/>
  <c r="AC60" i="31"/>
  <c r="AC59" i="31"/>
  <c r="AE59" i="31" s="1"/>
  <c r="AF59" i="31" s="1"/>
  <c r="AC58" i="31"/>
  <c r="AC57" i="31"/>
  <c r="AC56" i="31"/>
  <c r="AC55" i="31"/>
  <c r="AF55" i="31" s="1"/>
  <c r="AC54" i="31"/>
  <c r="AC53" i="31"/>
  <c r="AC52" i="31"/>
  <c r="AC51" i="31"/>
  <c r="AE51" i="31" s="1"/>
  <c r="AF51" i="31" s="1"/>
  <c r="AC50" i="31"/>
  <c r="AC49" i="31"/>
  <c r="AC48" i="31"/>
  <c r="AC47" i="31"/>
  <c r="AF47" i="31" s="1"/>
  <c r="AC46" i="31"/>
  <c r="AC45" i="31"/>
  <c r="AD64" i="31"/>
  <c r="AB64" i="31"/>
  <c r="AE64" i="31" s="1"/>
  <c r="AF64" i="31" s="1"/>
  <c r="AE63" i="31"/>
  <c r="AD63" i="31"/>
  <c r="AB63" i="31"/>
  <c r="AD62" i="31"/>
  <c r="AB62" i="31"/>
  <c r="AE62" i="31" s="1"/>
  <c r="AF62" i="31" s="1"/>
  <c r="AD61" i="31"/>
  <c r="AB61" i="31"/>
  <c r="AD60" i="31"/>
  <c r="AB60" i="31"/>
  <c r="AE60" i="31" s="1"/>
  <c r="AF60" i="31" s="1"/>
  <c r="AD59" i="31"/>
  <c r="AB59" i="31"/>
  <c r="AD58" i="31"/>
  <c r="AB58" i="31"/>
  <c r="AD57" i="31"/>
  <c r="AB57" i="31"/>
  <c r="AD56" i="31"/>
  <c r="AB56" i="31"/>
  <c r="AE56" i="31" s="1"/>
  <c r="AF56" i="31" s="1"/>
  <c r="AE55" i="31"/>
  <c r="AD55" i="31"/>
  <c r="AB55" i="31"/>
  <c r="AD54" i="31"/>
  <c r="AB54" i="31"/>
  <c r="AE54" i="31" s="1"/>
  <c r="AF54" i="31" s="1"/>
  <c r="AD53" i="31"/>
  <c r="AB53" i="31"/>
  <c r="AD52" i="31"/>
  <c r="AB52" i="31"/>
  <c r="AE52" i="31" s="1"/>
  <c r="AF52" i="31" s="1"/>
  <c r="AD51" i="31"/>
  <c r="AB51" i="31"/>
  <c r="AD50" i="31"/>
  <c r="AB50" i="31"/>
  <c r="AD49" i="31"/>
  <c r="AB49" i="31"/>
  <c r="AD48" i="31"/>
  <c r="AB48" i="31"/>
  <c r="AE48" i="31" s="1"/>
  <c r="AF48" i="31" s="1"/>
  <c r="AE47" i="31"/>
  <c r="AD47" i="31"/>
  <c r="AB47" i="31"/>
  <c r="AD46" i="31"/>
  <c r="AB46" i="31"/>
  <c r="AE46" i="31" s="1"/>
  <c r="AF46" i="31" s="1"/>
  <c r="AD45" i="31"/>
  <c r="AB45" i="31"/>
  <c r="AD5" i="31"/>
  <c r="U69" i="30" l="1"/>
  <c r="T70" i="30"/>
  <c r="U66" i="31"/>
  <c r="T67" i="31"/>
  <c r="U28" i="31"/>
  <c r="T29" i="31"/>
  <c r="U102" i="27"/>
  <c r="T103" i="27"/>
  <c r="T52" i="27"/>
  <c r="U51" i="27"/>
  <c r="U42" i="10"/>
  <c r="T43" i="10"/>
  <c r="AF5" i="30"/>
  <c r="AF10" i="30"/>
  <c r="AF21" i="30"/>
  <c r="AF26" i="30"/>
  <c r="AF37" i="30"/>
  <c r="AF42" i="30"/>
  <c r="AF53" i="30"/>
  <c r="AF58" i="30"/>
  <c r="AF9" i="30"/>
  <c r="AF14" i="30"/>
  <c r="AF25" i="30"/>
  <c r="AF30" i="30"/>
  <c r="AF41" i="30"/>
  <c r="AF46" i="30"/>
  <c r="AF57" i="30"/>
  <c r="AF62" i="30"/>
  <c r="AF13" i="30"/>
  <c r="AF18" i="30"/>
  <c r="AF29" i="30"/>
  <c r="AF34" i="30"/>
  <c r="AF66" i="30"/>
  <c r="AE50" i="31"/>
  <c r="AF50" i="31" s="1"/>
  <c r="AE58" i="31"/>
  <c r="AF58" i="31" s="1"/>
  <c r="AE45" i="31"/>
  <c r="AF45" i="31" s="1"/>
  <c r="AE49" i="31"/>
  <c r="AF49" i="31" s="1"/>
  <c r="AE57" i="31"/>
  <c r="AF57" i="31" s="1"/>
  <c r="AE61" i="31"/>
  <c r="AF61" i="31" s="1"/>
  <c r="AE53" i="31"/>
  <c r="AF53" i="31" s="1"/>
  <c r="V69" i="30" l="1"/>
  <c r="U70" i="30"/>
  <c r="V66" i="31"/>
  <c r="U67" i="31"/>
  <c r="V28" i="31"/>
  <c r="U29" i="31"/>
  <c r="V102" i="27"/>
  <c r="U103" i="27"/>
  <c r="U52" i="27"/>
  <c r="V51" i="27"/>
  <c r="U43" i="10"/>
  <c r="V42" i="10"/>
  <c r="C62" i="3"/>
  <c r="AD55" i="9"/>
  <c r="AD54" i="9"/>
  <c r="AD53" i="9"/>
  <c r="AD52" i="9"/>
  <c r="AD51" i="9"/>
  <c r="AD50" i="9"/>
  <c r="AD49" i="9"/>
  <c r="AD48" i="9"/>
  <c r="AD47" i="9"/>
  <c r="AD46" i="9"/>
  <c r="AD45" i="9"/>
  <c r="AD44" i="9"/>
  <c r="AD43" i="9"/>
  <c r="V70" i="30" l="1"/>
  <c r="W69" i="30"/>
  <c r="W70" i="30" s="1"/>
  <c r="V67" i="31"/>
  <c r="W66" i="31"/>
  <c r="W67" i="31" s="1"/>
  <c r="V29" i="31"/>
  <c r="W28" i="31"/>
  <c r="W29" i="31" s="1"/>
  <c r="V103" i="27"/>
  <c r="W103" i="27"/>
  <c r="V52" i="27"/>
  <c r="W51" i="27"/>
  <c r="W52" i="27" s="1"/>
  <c r="V43" i="10"/>
  <c r="W42" i="10"/>
  <c r="W43" i="10" s="1"/>
  <c r="AI8" i="31"/>
  <c r="AI6" i="31"/>
  <c r="AI5" i="31"/>
  <c r="AD27" i="31"/>
  <c r="AC27" i="31"/>
  <c r="AB27" i="31"/>
  <c r="AD26" i="31"/>
  <c r="AC26" i="31"/>
  <c r="AB26" i="31"/>
  <c r="AD25" i="31"/>
  <c r="AC25" i="31"/>
  <c r="AI9" i="31" s="1"/>
  <c r="AB25" i="31"/>
  <c r="AE25" i="31" s="1"/>
  <c r="AD24" i="31"/>
  <c r="AC24" i="31"/>
  <c r="AB24" i="31"/>
  <c r="AD23" i="31"/>
  <c r="AC23" i="31"/>
  <c r="AI7" i="31" s="1"/>
  <c r="AB23" i="31"/>
  <c r="AD22" i="31"/>
  <c r="AC22" i="31"/>
  <c r="AB22" i="31"/>
  <c r="AD21" i="31"/>
  <c r="AC21" i="31"/>
  <c r="AB21" i="31"/>
  <c r="AE21" i="31" s="1"/>
  <c r="AF21" i="31" s="1"/>
  <c r="AD20" i="31"/>
  <c r="AC20" i="31"/>
  <c r="AB20" i="31"/>
  <c r="AE20" i="31" s="1"/>
  <c r="AF20" i="31" s="1"/>
  <c r="AD19" i="31"/>
  <c r="AC19" i="31"/>
  <c r="AB19" i="31"/>
  <c r="AD18" i="31"/>
  <c r="AE18" i="31" s="1"/>
  <c r="AC18" i="31"/>
  <c r="AB18" i="31"/>
  <c r="AD17" i="31"/>
  <c r="AC17" i="31"/>
  <c r="AB17" i="31"/>
  <c r="AE17" i="31" s="1"/>
  <c r="AD16" i="31"/>
  <c r="AC16" i="31"/>
  <c r="AB16" i="31"/>
  <c r="AD15" i="31"/>
  <c r="AC15" i="31"/>
  <c r="AB15" i="31"/>
  <c r="AE15" i="31" s="1"/>
  <c r="AD14" i="31"/>
  <c r="AE14" i="31" s="1"/>
  <c r="AC14" i="31"/>
  <c r="AB14" i="31"/>
  <c r="AE13" i="31"/>
  <c r="AF13" i="31" s="1"/>
  <c r="AD13" i="31"/>
  <c r="AC13" i="31"/>
  <c r="AB13" i="31"/>
  <c r="AD12" i="31"/>
  <c r="AC12" i="31"/>
  <c r="AB12" i="31"/>
  <c r="AD11" i="31"/>
  <c r="AC11" i="31"/>
  <c r="AB11" i="31"/>
  <c r="AD10" i="31"/>
  <c r="AC10" i="31"/>
  <c r="AB10" i="31"/>
  <c r="AD9" i="31"/>
  <c r="AC9" i="31"/>
  <c r="AB9" i="31"/>
  <c r="AF9" i="31" s="1"/>
  <c r="AD8" i="31"/>
  <c r="AC8" i="31"/>
  <c r="AB8" i="31"/>
  <c r="AD7" i="31"/>
  <c r="AC7" i="31"/>
  <c r="AB7" i="31"/>
  <c r="AD6" i="31"/>
  <c r="AC6" i="31"/>
  <c r="AB6" i="31"/>
  <c r="AF5" i="31"/>
  <c r="AF17" i="31" l="1"/>
  <c r="AJ6" i="31"/>
  <c r="AK6" i="31" s="1"/>
  <c r="AK7" i="31"/>
  <c r="AF25" i="31"/>
  <c r="AJ9" i="31"/>
  <c r="AK9" i="31" s="1"/>
  <c r="AF6" i="31"/>
  <c r="AF7" i="31"/>
  <c r="AF12" i="31"/>
  <c r="AF14" i="31"/>
  <c r="AE23" i="31"/>
  <c r="AJ7" i="31" s="1"/>
  <c r="AE26" i="31"/>
  <c r="AF26" i="31" s="1"/>
  <c r="AE16" i="31"/>
  <c r="AF16" i="31" s="1"/>
  <c r="AF18" i="31"/>
  <c r="AE27" i="31"/>
  <c r="AF8" i="31"/>
  <c r="AE19" i="31"/>
  <c r="AF19" i="31" s="1"/>
  <c r="AE22" i="31"/>
  <c r="AF22" i="31" s="1"/>
  <c r="AE24" i="31"/>
  <c r="AF24" i="31" s="1"/>
  <c r="AJ8" i="31"/>
  <c r="AK8" i="31" s="1"/>
  <c r="AJ5" i="31"/>
  <c r="AK5" i="31" s="1"/>
  <c r="AF23" i="31"/>
  <c r="AF11" i="31"/>
  <c r="AF27" i="31"/>
  <c r="AF10" i="31"/>
  <c r="AF15" i="31"/>
  <c r="X64" i="27"/>
  <c r="W59" i="27"/>
  <c r="AT75" i="27"/>
  <c r="AS75" i="27"/>
  <c r="AR75" i="27"/>
  <c r="AT74" i="27"/>
  <c r="AS74" i="27"/>
  <c r="AR74" i="27"/>
  <c r="AD101" i="27"/>
  <c r="AC101" i="27"/>
  <c r="AB101" i="27"/>
  <c r="AD100" i="27"/>
  <c r="AE100" i="27" s="1"/>
  <c r="AF100" i="27" s="1"/>
  <c r="AC100" i="27"/>
  <c r="AB100" i="27"/>
  <c r="AE99" i="27"/>
  <c r="AF99" i="27" s="1"/>
  <c r="AD99" i="27"/>
  <c r="AC99" i="27"/>
  <c r="AB99" i="27"/>
  <c r="AD98" i="27"/>
  <c r="AC98" i="27"/>
  <c r="AB98" i="27"/>
  <c r="AE98" i="27" s="1"/>
  <c r="AF98" i="27" s="1"/>
  <c r="AD97" i="27"/>
  <c r="AC97" i="27"/>
  <c r="AB97" i="27"/>
  <c r="AD96" i="27"/>
  <c r="AE96" i="27" s="1"/>
  <c r="AF96" i="27" s="1"/>
  <c r="AC96" i="27"/>
  <c r="AB96" i="27"/>
  <c r="AE95" i="27"/>
  <c r="AF95" i="27" s="1"/>
  <c r="AD95" i="27"/>
  <c r="AC95" i="27"/>
  <c r="AB95" i="27"/>
  <c r="AD94" i="27"/>
  <c r="AC94" i="27"/>
  <c r="AB94" i="27"/>
  <c r="AE94" i="27" s="1"/>
  <c r="AF94" i="27" s="1"/>
  <c r="AD93" i="27"/>
  <c r="AC93" i="27"/>
  <c r="AB93" i="27"/>
  <c r="AD92" i="27"/>
  <c r="AE92" i="27" s="1"/>
  <c r="AF92" i="27" s="1"/>
  <c r="AC92" i="27"/>
  <c r="AB92" i="27"/>
  <c r="AE91" i="27"/>
  <c r="AF91" i="27" s="1"/>
  <c r="AD91" i="27"/>
  <c r="AC91" i="27"/>
  <c r="AB91" i="27"/>
  <c r="AD90" i="27"/>
  <c r="AC90" i="27"/>
  <c r="AB90" i="27"/>
  <c r="AE90" i="27" s="1"/>
  <c r="AF90" i="27" s="1"/>
  <c r="AD89" i="27"/>
  <c r="AC89" i="27"/>
  <c r="AB89" i="27"/>
  <c r="AD88" i="27"/>
  <c r="AE88" i="27" s="1"/>
  <c r="AF88" i="27" s="1"/>
  <c r="AC88" i="27"/>
  <c r="AB88" i="27"/>
  <c r="AE87" i="27"/>
  <c r="AF87" i="27" s="1"/>
  <c r="AD87" i="27"/>
  <c r="AC87" i="27"/>
  <c r="AB87" i="27"/>
  <c r="AD86" i="27"/>
  <c r="AC86" i="27"/>
  <c r="AB86" i="27"/>
  <c r="AE86" i="27" s="1"/>
  <c r="AF86" i="27" s="1"/>
  <c r="AD85" i="27"/>
  <c r="AC85" i="27"/>
  <c r="AB85" i="27"/>
  <c r="AD84" i="27"/>
  <c r="AE84" i="27" s="1"/>
  <c r="AF84" i="27" s="1"/>
  <c r="AC84" i="27"/>
  <c r="AB84" i="27"/>
  <c r="AE83" i="27"/>
  <c r="AF83" i="27" s="1"/>
  <c r="AD83" i="27"/>
  <c r="AC83" i="27"/>
  <c r="AB83" i="27"/>
  <c r="AD82" i="27"/>
  <c r="AC82" i="27"/>
  <c r="AB82" i="27"/>
  <c r="AE82" i="27" s="1"/>
  <c r="AF82" i="27" s="1"/>
  <c r="AD81" i="27"/>
  <c r="AC81" i="27"/>
  <c r="AB81" i="27"/>
  <c r="AD80" i="27"/>
  <c r="AE80" i="27" s="1"/>
  <c r="AF80" i="27" s="1"/>
  <c r="AC80" i="27"/>
  <c r="AB80" i="27"/>
  <c r="AE79" i="27"/>
  <c r="AF79" i="27" s="1"/>
  <c r="AD79" i="27"/>
  <c r="AC79" i="27"/>
  <c r="AB79" i="27"/>
  <c r="AD78" i="27"/>
  <c r="AC78" i="27"/>
  <c r="AB78" i="27"/>
  <c r="AE78" i="27" s="1"/>
  <c r="AF78" i="27" s="1"/>
  <c r="AD77" i="27"/>
  <c r="AC77" i="27"/>
  <c r="AB77" i="27"/>
  <c r="AD76" i="27"/>
  <c r="AE76" i="27" s="1"/>
  <c r="AF76" i="27" s="1"/>
  <c r="AC76" i="27"/>
  <c r="AB76" i="27"/>
  <c r="AE75" i="27"/>
  <c r="AF75" i="27" s="1"/>
  <c r="AD75" i="27"/>
  <c r="AC75" i="27"/>
  <c r="AB75" i="27"/>
  <c r="AF74" i="27"/>
  <c r="AE74" i="27"/>
  <c r="AD74" i="27"/>
  <c r="AC74" i="27"/>
  <c r="AB74" i="27"/>
  <c r="AE39" i="27"/>
  <c r="AE23" i="27"/>
  <c r="AF23" i="27" s="1"/>
  <c r="AE15" i="27"/>
  <c r="AE5" i="27"/>
  <c r="AF5" i="27" s="1"/>
  <c r="AB16" i="27"/>
  <c r="AF15" i="27"/>
  <c r="AD50" i="27"/>
  <c r="AC50" i="27"/>
  <c r="AB50" i="27"/>
  <c r="AE50" i="27" s="1"/>
  <c r="AD49" i="27"/>
  <c r="AC49" i="27"/>
  <c r="AB49" i="27"/>
  <c r="AE49" i="27" s="1"/>
  <c r="AD48" i="27"/>
  <c r="AE48" i="27" s="1"/>
  <c r="AF48" i="27" s="1"/>
  <c r="AC48" i="27"/>
  <c r="AB48" i="27"/>
  <c r="AD47" i="27"/>
  <c r="AC47" i="27"/>
  <c r="AE47" i="27" s="1"/>
  <c r="AB47" i="27"/>
  <c r="AD46" i="27"/>
  <c r="AC46" i="27"/>
  <c r="AB46" i="27"/>
  <c r="AE46" i="27" s="1"/>
  <c r="AD45" i="27"/>
  <c r="AC45" i="27"/>
  <c r="AB45" i="27"/>
  <c r="AE45" i="27" s="1"/>
  <c r="AD44" i="27"/>
  <c r="AC44" i="27"/>
  <c r="AB44" i="27"/>
  <c r="AE44" i="27" s="1"/>
  <c r="AF44" i="27" s="1"/>
  <c r="AD43" i="27"/>
  <c r="AE43" i="27" s="1"/>
  <c r="AF43" i="27" s="1"/>
  <c r="AC43" i="27"/>
  <c r="AB43" i="27"/>
  <c r="AD42" i="27"/>
  <c r="AC42" i="27"/>
  <c r="AB42" i="27"/>
  <c r="AE42" i="27" s="1"/>
  <c r="AD41" i="27"/>
  <c r="AC41" i="27"/>
  <c r="AB41" i="27"/>
  <c r="AE41" i="27" s="1"/>
  <c r="AD40" i="27"/>
  <c r="AC40" i="27"/>
  <c r="AF40" i="27" s="1"/>
  <c r="AB40" i="27"/>
  <c r="AE40" i="27" s="1"/>
  <c r="AD39" i="27"/>
  <c r="AC39" i="27"/>
  <c r="AF39" i="27" s="1"/>
  <c r="AB39" i="27"/>
  <c r="AD38" i="27"/>
  <c r="AC38" i="27"/>
  <c r="AB38" i="27"/>
  <c r="AE38" i="27" s="1"/>
  <c r="AD37" i="27"/>
  <c r="AC37" i="27"/>
  <c r="AB37" i="27"/>
  <c r="AE37" i="27" s="1"/>
  <c r="AD36" i="27"/>
  <c r="AC36" i="27"/>
  <c r="AE36" i="27" s="1"/>
  <c r="AB36" i="27"/>
  <c r="AD35" i="27"/>
  <c r="AC35" i="27"/>
  <c r="AB35" i="27"/>
  <c r="AE35" i="27" s="1"/>
  <c r="AF35" i="27" s="1"/>
  <c r="AD34" i="27"/>
  <c r="AC34" i="27"/>
  <c r="AB34" i="27"/>
  <c r="AE34" i="27" s="1"/>
  <c r="AD33" i="27"/>
  <c r="AC33" i="27"/>
  <c r="AB33" i="27"/>
  <c r="AE33" i="27" s="1"/>
  <c r="AD32" i="27"/>
  <c r="AE32" i="27" s="1"/>
  <c r="AF32" i="27" s="1"/>
  <c r="AC32" i="27"/>
  <c r="AB32" i="27"/>
  <c r="AD31" i="27"/>
  <c r="AC31" i="27"/>
  <c r="AE31" i="27" s="1"/>
  <c r="AB31" i="27"/>
  <c r="AD30" i="27"/>
  <c r="AC30" i="27"/>
  <c r="AB30" i="27"/>
  <c r="AE30" i="27" s="1"/>
  <c r="AD29" i="27"/>
  <c r="AC29" i="27"/>
  <c r="AR5" i="27" s="1"/>
  <c r="AT5" i="27" s="1"/>
  <c r="AB29" i="27"/>
  <c r="AE29" i="27" s="1"/>
  <c r="AS5" i="27" s="1"/>
  <c r="AD28" i="27"/>
  <c r="AC28" i="27"/>
  <c r="AB28" i="27"/>
  <c r="AE28" i="27" s="1"/>
  <c r="AF28" i="27" s="1"/>
  <c r="AD27" i="27"/>
  <c r="AE27" i="27" s="1"/>
  <c r="AF27" i="27" s="1"/>
  <c r="AC27" i="27"/>
  <c r="AB27" i="27"/>
  <c r="AD26" i="27"/>
  <c r="AC26" i="27"/>
  <c r="AB26" i="27"/>
  <c r="AE26" i="27" s="1"/>
  <c r="AD25" i="27"/>
  <c r="AC25" i="27"/>
  <c r="AB25" i="27"/>
  <c r="AE25" i="27" s="1"/>
  <c r="AD24" i="27"/>
  <c r="AC24" i="27"/>
  <c r="AB24" i="27"/>
  <c r="AE24" i="27" s="1"/>
  <c r="AD23" i="27"/>
  <c r="AC23" i="27"/>
  <c r="AB23" i="27"/>
  <c r="AD22" i="27"/>
  <c r="AC22" i="27"/>
  <c r="AB22" i="27"/>
  <c r="AE22" i="27" s="1"/>
  <c r="AD21" i="27"/>
  <c r="AC21" i="27"/>
  <c r="AB21" i="27"/>
  <c r="AE21" i="27" s="1"/>
  <c r="AD20" i="27"/>
  <c r="AC20" i="27"/>
  <c r="AE20" i="27" s="1"/>
  <c r="AB20" i="27"/>
  <c r="AD19" i="27"/>
  <c r="AC19" i="27"/>
  <c r="AB19" i="27"/>
  <c r="AE19" i="27" s="1"/>
  <c r="AF19" i="27" s="1"/>
  <c r="AD18" i="27"/>
  <c r="AC18" i="27"/>
  <c r="AB18" i="27"/>
  <c r="AE18" i="27" s="1"/>
  <c r="AD17" i="27"/>
  <c r="AC17" i="27"/>
  <c r="AB17" i="27"/>
  <c r="AE17" i="27" s="1"/>
  <c r="AD16" i="27"/>
  <c r="AC16" i="27"/>
  <c r="AE16" i="27" s="1"/>
  <c r="AD15" i="27"/>
  <c r="AC15" i="27"/>
  <c r="AB15" i="27"/>
  <c r="AD14" i="27"/>
  <c r="AC14" i="27"/>
  <c r="AR6" i="27" s="1"/>
  <c r="AT6" i="27" s="1"/>
  <c r="AB14" i="27"/>
  <c r="AE14" i="27" s="1"/>
  <c r="AS6" i="27" s="1"/>
  <c r="AD13" i="27"/>
  <c r="AC13" i="27"/>
  <c r="AB13" i="27"/>
  <c r="AE13" i="27" s="1"/>
  <c r="AD12" i="27"/>
  <c r="AC12" i="27"/>
  <c r="AE12" i="27" s="1"/>
  <c r="AB12" i="27"/>
  <c r="AD11" i="27"/>
  <c r="AC11" i="27"/>
  <c r="AB11" i="27"/>
  <c r="AE11" i="27" s="1"/>
  <c r="AF11" i="27" s="1"/>
  <c r="AD10" i="27"/>
  <c r="AC10" i="27"/>
  <c r="AB10" i="27"/>
  <c r="AE10" i="27" s="1"/>
  <c r="AD9" i="27"/>
  <c r="AC9" i="27"/>
  <c r="AB9" i="27"/>
  <c r="AE9" i="27" s="1"/>
  <c r="AD8" i="27"/>
  <c r="AE8" i="27" s="1"/>
  <c r="AF8" i="27" s="1"/>
  <c r="AC8" i="27"/>
  <c r="AB8" i="27"/>
  <c r="AD7" i="27"/>
  <c r="AC7" i="27"/>
  <c r="AE7" i="27" s="1"/>
  <c r="AF7" i="27" s="1"/>
  <c r="AB7" i="27"/>
  <c r="AD6" i="27"/>
  <c r="AC6" i="27"/>
  <c r="AB6" i="27"/>
  <c r="AE6" i="27" s="1"/>
  <c r="AD5" i="27"/>
  <c r="AC5" i="27"/>
  <c r="AB5" i="27"/>
  <c r="X47" i="10"/>
  <c r="X48" i="10"/>
  <c r="X46" i="10"/>
  <c r="AS7" i="10"/>
  <c r="AS6" i="10"/>
  <c r="AS5" i="10"/>
  <c r="AS4" i="10"/>
  <c r="AR7" i="10"/>
  <c r="AT7" i="10" s="1"/>
  <c r="AR4" i="10"/>
  <c r="AR5" i="10"/>
  <c r="AR6" i="10"/>
  <c r="AT4" i="10"/>
  <c r="AC12" i="10"/>
  <c r="AT5" i="10"/>
  <c r="AD41" i="10"/>
  <c r="AC41" i="10"/>
  <c r="AB41" i="10"/>
  <c r="AD40" i="10"/>
  <c r="AC40" i="10"/>
  <c r="AB40" i="10"/>
  <c r="AE40" i="10" s="1"/>
  <c r="AF40" i="10" s="1"/>
  <c r="AE39" i="10"/>
  <c r="AD39" i="10"/>
  <c r="AC39" i="10"/>
  <c r="AF39" i="10" s="1"/>
  <c r="AB39" i="10"/>
  <c r="AD38" i="10"/>
  <c r="AC38" i="10"/>
  <c r="AB38" i="10"/>
  <c r="AE38" i="10" s="1"/>
  <c r="AF38" i="10" s="1"/>
  <c r="AD37" i="10"/>
  <c r="AC37" i="10"/>
  <c r="AB37" i="10"/>
  <c r="AD36" i="10"/>
  <c r="AC36" i="10"/>
  <c r="AB36" i="10"/>
  <c r="AE36" i="10" s="1"/>
  <c r="AF36" i="10" s="1"/>
  <c r="AE35" i="10"/>
  <c r="AD35" i="10"/>
  <c r="AC35" i="10"/>
  <c r="AF35" i="10" s="1"/>
  <c r="AB35" i="10"/>
  <c r="AD34" i="10"/>
  <c r="AC34" i="10"/>
  <c r="AB34" i="10"/>
  <c r="AE34" i="10" s="1"/>
  <c r="AF34" i="10" s="1"/>
  <c r="AD33" i="10"/>
  <c r="AC33" i="10"/>
  <c r="AB33" i="10"/>
  <c r="AD32" i="10"/>
  <c r="AC32" i="10"/>
  <c r="AB32" i="10"/>
  <c r="AE32" i="10" s="1"/>
  <c r="AF32" i="10" s="1"/>
  <c r="AE31" i="10"/>
  <c r="AD31" i="10"/>
  <c r="AC31" i="10"/>
  <c r="AF31" i="10" s="1"/>
  <c r="AB31" i="10"/>
  <c r="AD30" i="10"/>
  <c r="AC30" i="10"/>
  <c r="AB30" i="10"/>
  <c r="AE30" i="10" s="1"/>
  <c r="AF30" i="10" s="1"/>
  <c r="AD29" i="10"/>
  <c r="AC29" i="10"/>
  <c r="AB29" i="10"/>
  <c r="AD28" i="10"/>
  <c r="AC28" i="10"/>
  <c r="AB28" i="10"/>
  <c r="AE28" i="10" s="1"/>
  <c r="AF28" i="10" s="1"/>
  <c r="AE27" i="10"/>
  <c r="AD27" i="10"/>
  <c r="AC27" i="10"/>
  <c r="AF27" i="10" s="1"/>
  <c r="AB27" i="10"/>
  <c r="AD26" i="10"/>
  <c r="AC26" i="10"/>
  <c r="AB26" i="10"/>
  <c r="AE26" i="10" s="1"/>
  <c r="AF26" i="10" s="1"/>
  <c r="AD25" i="10"/>
  <c r="AC25" i="10"/>
  <c r="AB25" i="10"/>
  <c r="AD24" i="10"/>
  <c r="AC24" i="10"/>
  <c r="AB24" i="10"/>
  <c r="AE24" i="10" s="1"/>
  <c r="AF24" i="10" s="1"/>
  <c r="AE23" i="10"/>
  <c r="AD23" i="10"/>
  <c r="AC23" i="10"/>
  <c r="AF23" i="10" s="1"/>
  <c r="AB23" i="10"/>
  <c r="AD22" i="10"/>
  <c r="AC22" i="10"/>
  <c r="AB22" i="10"/>
  <c r="AE22" i="10" s="1"/>
  <c r="AF22" i="10" s="1"/>
  <c r="AD21" i="10"/>
  <c r="AC21" i="10"/>
  <c r="AB21" i="10"/>
  <c r="AD20" i="10"/>
  <c r="AC20" i="10"/>
  <c r="AB20" i="10"/>
  <c r="AE20" i="10" s="1"/>
  <c r="AF20" i="10" s="1"/>
  <c r="AE19" i="10"/>
  <c r="AD19" i="10"/>
  <c r="AC19" i="10"/>
  <c r="AF19" i="10" s="1"/>
  <c r="AB19" i="10"/>
  <c r="AD18" i="10"/>
  <c r="AC18" i="10"/>
  <c r="AB18" i="10"/>
  <c r="AE18" i="10" s="1"/>
  <c r="AF18" i="10" s="1"/>
  <c r="AD17" i="10"/>
  <c r="AC17" i="10"/>
  <c r="AB17" i="10"/>
  <c r="AD16" i="10"/>
  <c r="AC16" i="10"/>
  <c r="AB16" i="10"/>
  <c r="AE16" i="10" s="1"/>
  <c r="AF16" i="10" s="1"/>
  <c r="AE15" i="10"/>
  <c r="AD15" i="10"/>
  <c r="AC15" i="10"/>
  <c r="AF15" i="10" s="1"/>
  <c r="AB15" i="10"/>
  <c r="AD14" i="10"/>
  <c r="AC14" i="10"/>
  <c r="AB14" i="10"/>
  <c r="AE14" i="10" s="1"/>
  <c r="AF14" i="10" s="1"/>
  <c r="AD13" i="10"/>
  <c r="AC13" i="10"/>
  <c r="AB13" i="10"/>
  <c r="AD12" i="10"/>
  <c r="AB12" i="10"/>
  <c r="AE12" i="10" s="1"/>
  <c r="AF12" i="10" s="1"/>
  <c r="AE11" i="10"/>
  <c r="AD11" i="10"/>
  <c r="AC11" i="10"/>
  <c r="AF11" i="10" s="1"/>
  <c r="AB11" i="10"/>
  <c r="AD10" i="10"/>
  <c r="AC10" i="10"/>
  <c r="AB10" i="10"/>
  <c r="AE10" i="10" s="1"/>
  <c r="AF10" i="10" s="1"/>
  <c r="AD9" i="10"/>
  <c r="AC9" i="10"/>
  <c r="AB9" i="10"/>
  <c r="AD8" i="10"/>
  <c r="AC8" i="10"/>
  <c r="AB8" i="10"/>
  <c r="AE8" i="10" s="1"/>
  <c r="AF8" i="10" s="1"/>
  <c r="AE7" i="10"/>
  <c r="AD7" i="10"/>
  <c r="AC7" i="10"/>
  <c r="AF7" i="10" s="1"/>
  <c r="AB7" i="10"/>
  <c r="AD6" i="10"/>
  <c r="AC6" i="10"/>
  <c r="AB6" i="10"/>
  <c r="AE6" i="10" s="1"/>
  <c r="AF6" i="10" s="1"/>
  <c r="AD5" i="10"/>
  <c r="AC5" i="10"/>
  <c r="AB5" i="10"/>
  <c r="AF4" i="10"/>
  <c r="AE4" i="10"/>
  <c r="AD4" i="10"/>
  <c r="AC4" i="10"/>
  <c r="AB4" i="10"/>
  <c r="AF24" i="27" l="1"/>
  <c r="AF47" i="27"/>
  <c r="AF46" i="27"/>
  <c r="AF10" i="27"/>
  <c r="AF12" i="27"/>
  <c r="AF18" i="27"/>
  <c r="AF20" i="27"/>
  <c r="AF34" i="27"/>
  <c r="AF36" i="27"/>
  <c r="AF31" i="27"/>
  <c r="AF26" i="27"/>
  <c r="AF42" i="27"/>
  <c r="AF6" i="27"/>
  <c r="AF30" i="27"/>
  <c r="AF16" i="27"/>
  <c r="AF97" i="27"/>
  <c r="AF89" i="27"/>
  <c r="AE77" i="27"/>
  <c r="AF77" i="27" s="1"/>
  <c r="AE89" i="27"/>
  <c r="AE93" i="27"/>
  <c r="AF93" i="27" s="1"/>
  <c r="AE101" i="27"/>
  <c r="AF101" i="27" s="1"/>
  <c r="AE81" i="27"/>
  <c r="AF81" i="27" s="1"/>
  <c r="AE85" i="27"/>
  <c r="AF85" i="27" s="1"/>
  <c r="AE97" i="27"/>
  <c r="AF14" i="27"/>
  <c r="AF22" i="27"/>
  <c r="AF38" i="27"/>
  <c r="AF9" i="27"/>
  <c r="AF17" i="27"/>
  <c r="AF25" i="27"/>
  <c r="AF33" i="27"/>
  <c r="AF41" i="27"/>
  <c r="AF49" i="27"/>
  <c r="AF13" i="27"/>
  <c r="AF21" i="27"/>
  <c r="AF29" i="27"/>
  <c r="AF37" i="27"/>
  <c r="AF45" i="27"/>
  <c r="AT6" i="10"/>
  <c r="AF33" i="10"/>
  <c r="AF5" i="10"/>
  <c r="AF21" i="10"/>
  <c r="AF25" i="10"/>
  <c r="AE5" i="10"/>
  <c r="AE9" i="10"/>
  <c r="AF9" i="10" s="1"/>
  <c r="AE33" i="10"/>
  <c r="AE37" i="10"/>
  <c r="AF37" i="10" s="1"/>
  <c r="AE41" i="10"/>
  <c r="AF41" i="10" s="1"/>
  <c r="AE13" i="10"/>
  <c r="AF13" i="10" s="1"/>
  <c r="AE17" i="10"/>
  <c r="AF17" i="10" s="1"/>
  <c r="AE21" i="10"/>
  <c r="AE25" i="10"/>
  <c r="AE29" i="10"/>
  <c r="AF29" i="10" s="1"/>
  <c r="AB5" i="9"/>
  <c r="V151" i="33"/>
  <c r="V152" i="33"/>
  <c r="V153" i="33"/>
  <c r="U154" i="33"/>
  <c r="U153" i="33"/>
  <c r="U152" i="33"/>
  <c r="U151" i="33"/>
  <c r="O153" i="33"/>
  <c r="O152" i="33"/>
  <c r="O151" i="33"/>
  <c r="N154" i="33"/>
  <c r="N153" i="33"/>
  <c r="N152" i="33"/>
  <c r="N151" i="33"/>
  <c r="T81" i="33"/>
  <c r="U80" i="33"/>
  <c r="T80" i="33"/>
  <c r="T79" i="33"/>
  <c r="U78" i="33"/>
  <c r="T78" i="33"/>
  <c r="O80" i="33"/>
  <c r="N81" i="33"/>
  <c r="N80" i="33"/>
  <c r="N79" i="33"/>
  <c r="N78" i="33"/>
  <c r="O78" i="33"/>
  <c r="AA6" i="33"/>
  <c r="Z6" i="33"/>
  <c r="U11" i="33"/>
  <c r="T11" i="33"/>
  <c r="U10" i="33"/>
  <c r="T10" i="33"/>
  <c r="T9" i="33"/>
  <c r="U8" i="33"/>
  <c r="T8" i="33"/>
  <c r="T7" i="33"/>
  <c r="U6" i="33"/>
  <c r="V6" i="33" s="1"/>
  <c r="T6" i="33"/>
  <c r="O11" i="33"/>
  <c r="N11" i="33"/>
  <c r="O10" i="33"/>
  <c r="N10" i="33"/>
  <c r="N9" i="33"/>
  <c r="O8" i="33"/>
  <c r="N8" i="33"/>
  <c r="N7" i="33"/>
  <c r="O6" i="33"/>
  <c r="P6" i="33"/>
  <c r="N6" i="33"/>
  <c r="D42" i="33"/>
  <c r="E42" i="33"/>
  <c r="F42" i="33"/>
  <c r="D43" i="33"/>
  <c r="E43" i="33"/>
  <c r="F43" i="33"/>
  <c r="D44" i="33"/>
  <c r="E44" i="33"/>
  <c r="F44" i="33"/>
  <c r="F50" i="33"/>
  <c r="E52" i="33"/>
  <c r="D58" i="33"/>
  <c r="E58" i="33"/>
  <c r="F58" i="33"/>
  <c r="D59" i="33"/>
  <c r="E59" i="33"/>
  <c r="F59" i="33"/>
  <c r="D60" i="33"/>
  <c r="E60" i="33"/>
  <c r="F60" i="33"/>
  <c r="D61" i="33"/>
  <c r="E62" i="33"/>
  <c r="D63" i="33"/>
  <c r="E63" i="33"/>
  <c r="F63" i="33"/>
  <c r="D64" i="33"/>
  <c r="E64" i="33"/>
  <c r="F64" i="33"/>
  <c r="D67" i="33"/>
  <c r="E68" i="33"/>
  <c r="F69" i="33"/>
  <c r="D71" i="33"/>
  <c r="E72" i="33"/>
  <c r="C70" i="33"/>
  <c r="C64" i="33"/>
  <c r="C63" i="33"/>
  <c r="C60" i="33"/>
  <c r="C59" i="33"/>
  <c r="C58" i="33"/>
  <c r="C54" i="33"/>
  <c r="C44" i="33"/>
  <c r="C43" i="33"/>
  <c r="C42" i="33"/>
  <c r="C17" i="33"/>
  <c r="D204" i="33"/>
  <c r="E204" i="33"/>
  <c r="F204" i="33"/>
  <c r="C204" i="33"/>
  <c r="D202" i="33"/>
  <c r="E202" i="33"/>
  <c r="F202" i="33"/>
  <c r="D203" i="33"/>
  <c r="E203" i="33"/>
  <c r="F203" i="33"/>
  <c r="C203" i="33"/>
  <c r="C202" i="33"/>
  <c r="D196" i="33"/>
  <c r="E196" i="33"/>
  <c r="F196" i="33"/>
  <c r="D197" i="33"/>
  <c r="E197" i="33"/>
  <c r="F197" i="33"/>
  <c r="C197" i="33"/>
  <c r="C196" i="33"/>
  <c r="D190" i="33"/>
  <c r="E190" i="33"/>
  <c r="F190" i="33"/>
  <c r="D188" i="33"/>
  <c r="E188" i="33"/>
  <c r="F188" i="33"/>
  <c r="C190" i="33"/>
  <c r="C189" i="33"/>
  <c r="C188" i="33"/>
  <c r="D167" i="33"/>
  <c r="E167" i="33"/>
  <c r="F167" i="33"/>
  <c r="D168" i="33"/>
  <c r="E168" i="33"/>
  <c r="F168" i="33"/>
  <c r="D169" i="33"/>
  <c r="E169" i="33"/>
  <c r="F169" i="33"/>
  <c r="D170" i="33"/>
  <c r="E170" i="33"/>
  <c r="F170" i="33"/>
  <c r="D171" i="33"/>
  <c r="E171" i="33"/>
  <c r="F171" i="33"/>
  <c r="C171" i="33"/>
  <c r="C170" i="33"/>
  <c r="C169" i="33"/>
  <c r="C168" i="33"/>
  <c r="C167" i="33"/>
  <c r="D177" i="33"/>
  <c r="E177" i="33"/>
  <c r="F177" i="33"/>
  <c r="C177" i="33"/>
  <c r="D173" i="33"/>
  <c r="E173" i="33"/>
  <c r="F173" i="33"/>
  <c r="C173" i="33"/>
  <c r="D172" i="33"/>
  <c r="E172" i="33"/>
  <c r="F172" i="33"/>
  <c r="C172" i="33"/>
  <c r="D186" i="33"/>
  <c r="E186" i="33"/>
  <c r="F186" i="33"/>
  <c r="D187" i="33"/>
  <c r="E187" i="33"/>
  <c r="F187" i="33"/>
  <c r="C187" i="33"/>
  <c r="C186" i="33"/>
  <c r="D181" i="33"/>
  <c r="E181" i="33"/>
  <c r="F181" i="33"/>
  <c r="C181" i="33"/>
  <c r="D178" i="33"/>
  <c r="D38" i="33" s="1"/>
  <c r="E178" i="33"/>
  <c r="F178" i="33"/>
  <c r="C178" i="33"/>
  <c r="D159" i="33"/>
  <c r="E159" i="33"/>
  <c r="F159" i="33"/>
  <c r="D160" i="33"/>
  <c r="E160" i="33"/>
  <c r="F160" i="33"/>
  <c r="D161" i="33"/>
  <c r="E161" i="33"/>
  <c r="F161" i="33"/>
  <c r="D162" i="33"/>
  <c r="E162" i="33"/>
  <c r="F162" i="33"/>
  <c r="D163" i="33"/>
  <c r="E163" i="33"/>
  <c r="F163" i="33"/>
  <c r="D164" i="33"/>
  <c r="E164" i="33"/>
  <c r="F164" i="33"/>
  <c r="D165" i="33"/>
  <c r="E165" i="33"/>
  <c r="F165" i="33"/>
  <c r="D166" i="33"/>
  <c r="E166" i="33"/>
  <c r="F166" i="33"/>
  <c r="C166" i="33"/>
  <c r="C165" i="33"/>
  <c r="C164" i="33"/>
  <c r="C163" i="33"/>
  <c r="C162" i="33"/>
  <c r="C161" i="33"/>
  <c r="C160" i="33"/>
  <c r="C159" i="33"/>
  <c r="D157" i="33"/>
  <c r="E157" i="33"/>
  <c r="F157" i="33"/>
  <c r="C157" i="33"/>
  <c r="D153" i="33"/>
  <c r="E153" i="33"/>
  <c r="F153" i="33"/>
  <c r="C153" i="33"/>
  <c r="D150" i="33"/>
  <c r="E150" i="33"/>
  <c r="F150" i="33"/>
  <c r="C150" i="33"/>
  <c r="J181" i="33"/>
  <c r="D151" i="33"/>
  <c r="E151" i="33"/>
  <c r="F151" i="33"/>
  <c r="D152" i="33"/>
  <c r="E152" i="33"/>
  <c r="F152" i="33"/>
  <c r="D154" i="33"/>
  <c r="E154" i="33"/>
  <c r="F154" i="33"/>
  <c r="D155" i="33"/>
  <c r="E155" i="33"/>
  <c r="F155" i="33"/>
  <c r="D156" i="33"/>
  <c r="E156" i="33"/>
  <c r="F156" i="33"/>
  <c r="D158" i="33"/>
  <c r="E158" i="33"/>
  <c r="F158" i="33"/>
  <c r="D174" i="33"/>
  <c r="E174" i="33"/>
  <c r="F174" i="33"/>
  <c r="D175" i="33"/>
  <c r="E175" i="33"/>
  <c r="F175" i="33"/>
  <c r="D176" i="33"/>
  <c r="E176" i="33"/>
  <c r="F176" i="33"/>
  <c r="D179" i="33"/>
  <c r="E179" i="33"/>
  <c r="F179" i="33"/>
  <c r="D180" i="33"/>
  <c r="E180" i="33"/>
  <c r="F180" i="33"/>
  <c r="D182" i="33"/>
  <c r="E182" i="33"/>
  <c r="F182" i="33"/>
  <c r="D183" i="33"/>
  <c r="E183" i="33"/>
  <c r="F183" i="33"/>
  <c r="D184" i="33"/>
  <c r="E184" i="33"/>
  <c r="F184" i="33"/>
  <c r="D185" i="33"/>
  <c r="E185" i="33"/>
  <c r="F185" i="33"/>
  <c r="D189" i="33"/>
  <c r="E189" i="33"/>
  <c r="F189" i="33"/>
  <c r="D191" i="33"/>
  <c r="E191" i="33"/>
  <c r="F191" i="33"/>
  <c r="D192" i="33"/>
  <c r="E192" i="33"/>
  <c r="F192" i="33"/>
  <c r="D198" i="33"/>
  <c r="E198" i="33"/>
  <c r="F198" i="33"/>
  <c r="D199" i="33"/>
  <c r="E199" i="33"/>
  <c r="F199" i="33"/>
  <c r="D200" i="33"/>
  <c r="E200" i="33"/>
  <c r="F200" i="33"/>
  <c r="D201" i="33"/>
  <c r="E201" i="33"/>
  <c r="F201" i="33"/>
  <c r="C201" i="33"/>
  <c r="C200" i="33"/>
  <c r="C199" i="33"/>
  <c r="C198" i="33"/>
  <c r="C192" i="33"/>
  <c r="C191" i="33"/>
  <c r="C185" i="33"/>
  <c r="C184" i="33"/>
  <c r="C183" i="33"/>
  <c r="C182" i="33"/>
  <c r="C180" i="33"/>
  <c r="C179" i="33"/>
  <c r="C176" i="33"/>
  <c r="C175" i="33"/>
  <c r="C174" i="33"/>
  <c r="C158" i="33"/>
  <c r="C156" i="33"/>
  <c r="C155" i="33"/>
  <c r="C154" i="33"/>
  <c r="C152" i="33"/>
  <c r="C151" i="33"/>
  <c r="D193" i="33"/>
  <c r="E193" i="33"/>
  <c r="F193" i="33"/>
  <c r="D194" i="33"/>
  <c r="E194" i="33"/>
  <c r="F194" i="33"/>
  <c r="D195" i="33"/>
  <c r="E195" i="33"/>
  <c r="F195" i="33"/>
  <c r="C195" i="33"/>
  <c r="C194" i="33"/>
  <c r="C193" i="33"/>
  <c r="E145" i="33"/>
  <c r="E73" i="33" s="1"/>
  <c r="F145" i="33"/>
  <c r="F73" i="33" s="1"/>
  <c r="C145" i="33"/>
  <c r="C73" i="33" s="1"/>
  <c r="E137" i="33"/>
  <c r="E65" i="33" s="1"/>
  <c r="F137" i="33"/>
  <c r="F65" i="33" s="1"/>
  <c r="D138" i="33"/>
  <c r="D66" i="33" s="1"/>
  <c r="E138" i="33"/>
  <c r="E66" i="33" s="1"/>
  <c r="F138" i="33"/>
  <c r="F66" i="33" s="1"/>
  <c r="C138" i="33"/>
  <c r="C66" i="33" s="1"/>
  <c r="E128" i="33"/>
  <c r="E56" i="33" s="1"/>
  <c r="F128" i="33"/>
  <c r="F56" i="33" s="1"/>
  <c r="D129" i="33"/>
  <c r="D57" i="33" s="1"/>
  <c r="E129" i="33"/>
  <c r="E57" i="33" s="1"/>
  <c r="F129" i="33"/>
  <c r="F57" i="33" s="1"/>
  <c r="C129" i="33"/>
  <c r="C57" i="33" s="1"/>
  <c r="E120" i="33"/>
  <c r="E48" i="33" s="1"/>
  <c r="F120" i="33"/>
  <c r="F48" i="33" s="1"/>
  <c r="D121" i="33"/>
  <c r="D49" i="33" s="1"/>
  <c r="E121" i="33"/>
  <c r="E49" i="33" s="1"/>
  <c r="F121" i="33"/>
  <c r="C121" i="33"/>
  <c r="C49" i="33" s="1"/>
  <c r="E97" i="33"/>
  <c r="E25" i="33" s="1"/>
  <c r="F97" i="33"/>
  <c r="F25" i="33" s="1"/>
  <c r="D98" i="33"/>
  <c r="D26" i="33" s="1"/>
  <c r="E98" i="33"/>
  <c r="E26" i="33" s="1"/>
  <c r="F98" i="33"/>
  <c r="F26" i="33" s="1"/>
  <c r="D99" i="33"/>
  <c r="D27" i="33" s="1"/>
  <c r="E99" i="33"/>
  <c r="E27" i="33" s="1"/>
  <c r="F99" i="33"/>
  <c r="F27" i="33" s="1"/>
  <c r="D100" i="33"/>
  <c r="D28" i="33" s="1"/>
  <c r="E100" i="33"/>
  <c r="E28" i="33" s="1"/>
  <c r="F100" i="33"/>
  <c r="F28" i="33" s="1"/>
  <c r="D101" i="33"/>
  <c r="D29" i="33" s="1"/>
  <c r="E101" i="33"/>
  <c r="E29" i="33" s="1"/>
  <c r="F101" i="33"/>
  <c r="F29" i="33" s="1"/>
  <c r="C101" i="33"/>
  <c r="C29" i="33" s="1"/>
  <c r="C99" i="33"/>
  <c r="C27" i="33" s="1"/>
  <c r="C98" i="33"/>
  <c r="C26" i="33" s="1"/>
  <c r="E93" i="33"/>
  <c r="E21" i="33" s="1"/>
  <c r="F93" i="33"/>
  <c r="F21" i="33" s="1"/>
  <c r="D94" i="33"/>
  <c r="D22" i="33" s="1"/>
  <c r="E94" i="33"/>
  <c r="F94" i="33"/>
  <c r="F22" i="33" s="1"/>
  <c r="D95" i="33"/>
  <c r="D23" i="33" s="1"/>
  <c r="E95" i="33"/>
  <c r="E23" i="33" s="1"/>
  <c r="F95" i="33"/>
  <c r="D96" i="33"/>
  <c r="D24" i="33" s="1"/>
  <c r="E96" i="33"/>
  <c r="E24" i="33" s="1"/>
  <c r="F96" i="33"/>
  <c r="F24" i="33" s="1"/>
  <c r="C96" i="33"/>
  <c r="C95" i="33"/>
  <c r="C23" i="33" s="1"/>
  <c r="C94" i="33"/>
  <c r="C22" i="33" s="1"/>
  <c r="D107" i="33"/>
  <c r="D35" i="33" s="1"/>
  <c r="E107" i="33"/>
  <c r="E35" i="33" s="1"/>
  <c r="F107" i="33"/>
  <c r="F35" i="33" s="1"/>
  <c r="D104" i="33"/>
  <c r="D32" i="33" s="1"/>
  <c r="E104" i="33"/>
  <c r="E32" i="33" s="1"/>
  <c r="F104" i="33"/>
  <c r="F32" i="33" s="1"/>
  <c r="D102" i="33"/>
  <c r="E102" i="33"/>
  <c r="E30" i="33" s="1"/>
  <c r="F102" i="33"/>
  <c r="F30" i="33" s="1"/>
  <c r="C104" i="33"/>
  <c r="C32" i="33" s="1"/>
  <c r="C107" i="33"/>
  <c r="C35" i="33" s="1"/>
  <c r="E78" i="33"/>
  <c r="E6" i="33" s="1"/>
  <c r="F78" i="33"/>
  <c r="F6" i="33" s="1"/>
  <c r="D79" i="33"/>
  <c r="D7" i="33" s="1"/>
  <c r="E79" i="33"/>
  <c r="E7" i="33" s="1"/>
  <c r="F79" i="33"/>
  <c r="F7" i="33" s="1"/>
  <c r="D80" i="33"/>
  <c r="D8" i="33" s="1"/>
  <c r="E80" i="33"/>
  <c r="E8" i="33" s="1"/>
  <c r="F80" i="33"/>
  <c r="F8" i="33" s="1"/>
  <c r="D81" i="33"/>
  <c r="E81" i="33"/>
  <c r="E9" i="33" s="1"/>
  <c r="F81" i="33"/>
  <c r="F9" i="33" s="1"/>
  <c r="D82" i="33"/>
  <c r="D10" i="33" s="1"/>
  <c r="E82" i="33"/>
  <c r="E10" i="33" s="1"/>
  <c r="F82" i="33"/>
  <c r="F10" i="33" s="1"/>
  <c r="D83" i="33"/>
  <c r="D11" i="33" s="1"/>
  <c r="E83" i="33"/>
  <c r="E11" i="33" s="1"/>
  <c r="F83" i="33"/>
  <c r="F11" i="33" s="1"/>
  <c r="D84" i="33"/>
  <c r="D12" i="33" s="1"/>
  <c r="E84" i="33"/>
  <c r="E12" i="33" s="1"/>
  <c r="F84" i="33"/>
  <c r="F12" i="33" s="1"/>
  <c r="D85" i="33"/>
  <c r="E85" i="33"/>
  <c r="E13" i="33" s="1"/>
  <c r="F85" i="33"/>
  <c r="F13" i="33" s="1"/>
  <c r="D86" i="33"/>
  <c r="E86" i="33"/>
  <c r="E14" i="33" s="1"/>
  <c r="F86" i="33"/>
  <c r="F14" i="33" s="1"/>
  <c r="C86" i="33"/>
  <c r="C14" i="33" s="1"/>
  <c r="C85" i="33"/>
  <c r="C13" i="33" s="1"/>
  <c r="C84" i="33"/>
  <c r="C12" i="33" s="1"/>
  <c r="C83" i="33"/>
  <c r="C11" i="33" s="1"/>
  <c r="C82" i="33"/>
  <c r="C10" i="33" s="1"/>
  <c r="C81" i="33"/>
  <c r="C9" i="33" s="1"/>
  <c r="C80" i="33"/>
  <c r="C8" i="33" s="1"/>
  <c r="C79" i="33"/>
  <c r="C7" i="33" s="1"/>
  <c r="D141" i="33"/>
  <c r="D69" i="33" s="1"/>
  <c r="E141" i="33"/>
  <c r="E69" i="33" s="1"/>
  <c r="F141" i="33"/>
  <c r="D142" i="33"/>
  <c r="D70" i="33" s="1"/>
  <c r="E142" i="33"/>
  <c r="E70" i="33" s="1"/>
  <c r="F142" i="33"/>
  <c r="F70" i="33" s="1"/>
  <c r="D143" i="33"/>
  <c r="E143" i="33"/>
  <c r="E71" i="33" s="1"/>
  <c r="F143" i="33"/>
  <c r="F71" i="33" s="1"/>
  <c r="D144" i="33"/>
  <c r="D72" i="33" s="1"/>
  <c r="E144" i="33"/>
  <c r="F144" i="33"/>
  <c r="F72" i="33" s="1"/>
  <c r="D139" i="33"/>
  <c r="E139" i="33"/>
  <c r="E67" i="33" s="1"/>
  <c r="F139" i="33"/>
  <c r="F67" i="33" s="1"/>
  <c r="D140" i="33"/>
  <c r="D68" i="33" s="1"/>
  <c r="E140" i="33"/>
  <c r="F140" i="33"/>
  <c r="F68" i="33" s="1"/>
  <c r="D133" i="33"/>
  <c r="E133" i="33"/>
  <c r="E61" i="33" s="1"/>
  <c r="F133" i="33"/>
  <c r="F61" i="33" s="1"/>
  <c r="D134" i="33"/>
  <c r="D62" i="33" s="1"/>
  <c r="E134" i="33"/>
  <c r="F134" i="33"/>
  <c r="F62" i="33" s="1"/>
  <c r="C144" i="33"/>
  <c r="C72" i="33" s="1"/>
  <c r="C143" i="33"/>
  <c r="C71" i="33" s="1"/>
  <c r="C142" i="33"/>
  <c r="C141" i="33"/>
  <c r="C69" i="33" s="1"/>
  <c r="C140" i="33"/>
  <c r="C68" i="33" s="1"/>
  <c r="C139" i="33"/>
  <c r="C67" i="33" s="1"/>
  <c r="C134" i="33"/>
  <c r="C62" i="33" s="1"/>
  <c r="C133" i="33"/>
  <c r="C61" i="33" s="1"/>
  <c r="D123" i="33"/>
  <c r="D51" i="33" s="1"/>
  <c r="E123" i="33"/>
  <c r="E51" i="33" s="1"/>
  <c r="F123" i="33"/>
  <c r="F51" i="33" s="1"/>
  <c r="D124" i="33"/>
  <c r="D52" i="33" s="1"/>
  <c r="E124" i="33"/>
  <c r="F124" i="33"/>
  <c r="F52" i="33" s="1"/>
  <c r="D125" i="33"/>
  <c r="D53" i="33" s="1"/>
  <c r="E125" i="33"/>
  <c r="E53" i="33" s="1"/>
  <c r="F125" i="33"/>
  <c r="F53" i="33" s="1"/>
  <c r="D126" i="33"/>
  <c r="D54" i="33" s="1"/>
  <c r="E126" i="33"/>
  <c r="E54" i="33" s="1"/>
  <c r="F126" i="33"/>
  <c r="F54" i="33" s="1"/>
  <c r="D127" i="33"/>
  <c r="D55" i="33" s="1"/>
  <c r="E127" i="33"/>
  <c r="E55" i="33" s="1"/>
  <c r="F127" i="33"/>
  <c r="F55" i="33" s="1"/>
  <c r="C127" i="33"/>
  <c r="C55" i="33" s="1"/>
  <c r="C126" i="33"/>
  <c r="C125" i="33"/>
  <c r="C53" i="33" s="1"/>
  <c r="C124" i="33"/>
  <c r="C52" i="33" s="1"/>
  <c r="C123" i="33"/>
  <c r="C51" i="33" s="1"/>
  <c r="D122" i="33"/>
  <c r="D50" i="33" s="1"/>
  <c r="E122" i="33"/>
  <c r="E50" i="33" s="1"/>
  <c r="F122" i="33"/>
  <c r="C122" i="33"/>
  <c r="C50" i="33" s="1"/>
  <c r="D117" i="33"/>
  <c r="D45" i="33" s="1"/>
  <c r="E117" i="33"/>
  <c r="E45" i="33" s="1"/>
  <c r="F117" i="33"/>
  <c r="F45" i="33" s="1"/>
  <c r="D118" i="33"/>
  <c r="D46" i="33" s="1"/>
  <c r="E118" i="33"/>
  <c r="E46" i="33" s="1"/>
  <c r="F118" i="33"/>
  <c r="F46" i="33" s="1"/>
  <c r="D112" i="33"/>
  <c r="D40" i="33" s="1"/>
  <c r="E112" i="33"/>
  <c r="E40" i="33" s="1"/>
  <c r="F112" i="33"/>
  <c r="F40" i="33" s="1"/>
  <c r="D110" i="33"/>
  <c r="E110" i="33"/>
  <c r="E38" i="33" s="1"/>
  <c r="F110" i="33"/>
  <c r="F38" i="33" s="1"/>
  <c r="C118" i="33"/>
  <c r="C46" i="33" s="1"/>
  <c r="C117" i="33"/>
  <c r="C45" i="33" s="1"/>
  <c r="C113" i="33"/>
  <c r="C41" i="33" s="1"/>
  <c r="C112" i="33"/>
  <c r="C40" i="33" s="1"/>
  <c r="C110" i="33"/>
  <c r="I110" i="33" s="1"/>
  <c r="D108" i="33"/>
  <c r="D36" i="33" s="1"/>
  <c r="E108" i="33"/>
  <c r="E36" i="33" s="1"/>
  <c r="F108" i="33"/>
  <c r="F36" i="33" s="1"/>
  <c r="D109" i="33"/>
  <c r="D37" i="33" s="1"/>
  <c r="E109" i="33"/>
  <c r="E37" i="33" s="1"/>
  <c r="F109" i="33"/>
  <c r="F37" i="33" s="1"/>
  <c r="C109" i="33"/>
  <c r="C37" i="33" s="1"/>
  <c r="C108" i="33"/>
  <c r="C36" i="33" s="1"/>
  <c r="D103" i="33"/>
  <c r="E103" i="33"/>
  <c r="E31" i="33" s="1"/>
  <c r="F103" i="33"/>
  <c r="F31" i="33" s="1"/>
  <c r="D105" i="33"/>
  <c r="D33" i="33" s="1"/>
  <c r="E105" i="33"/>
  <c r="E33" i="33" s="1"/>
  <c r="F105" i="33"/>
  <c r="F33" i="33" s="1"/>
  <c r="D106" i="33"/>
  <c r="D34" i="33" s="1"/>
  <c r="E106" i="33"/>
  <c r="E34" i="33" s="1"/>
  <c r="F106" i="33"/>
  <c r="F34" i="33" s="1"/>
  <c r="C106" i="33"/>
  <c r="C34" i="33" s="1"/>
  <c r="C105" i="33"/>
  <c r="C33" i="33" s="1"/>
  <c r="C103" i="33"/>
  <c r="C31" i="33" s="1"/>
  <c r="B27" i="4"/>
  <c r="C100" i="33"/>
  <c r="G92" i="33"/>
  <c r="D91" i="33"/>
  <c r="D19" i="33" s="1"/>
  <c r="E91" i="33"/>
  <c r="E19" i="33" s="1"/>
  <c r="F91" i="33"/>
  <c r="F19" i="33" s="1"/>
  <c r="D92" i="33"/>
  <c r="D20" i="33" s="1"/>
  <c r="E92" i="33"/>
  <c r="E20" i="33" s="1"/>
  <c r="F92" i="33"/>
  <c r="F20" i="33" s="1"/>
  <c r="C92" i="33"/>
  <c r="C20" i="33" s="1"/>
  <c r="C91" i="33"/>
  <c r="C19" i="33" s="1"/>
  <c r="D87" i="33"/>
  <c r="D15" i="33" s="1"/>
  <c r="E87" i="33"/>
  <c r="E15" i="33" s="1"/>
  <c r="F87" i="33"/>
  <c r="F15" i="33" s="1"/>
  <c r="D88" i="33"/>
  <c r="D16" i="33" s="1"/>
  <c r="E88" i="33"/>
  <c r="E16" i="33" s="1"/>
  <c r="F88" i="33"/>
  <c r="F16" i="33" s="1"/>
  <c r="D89" i="33"/>
  <c r="D17" i="33" s="1"/>
  <c r="E89" i="33"/>
  <c r="E17" i="33" s="1"/>
  <c r="F89" i="33"/>
  <c r="F17" i="33" s="1"/>
  <c r="D90" i="33"/>
  <c r="D18" i="33" s="1"/>
  <c r="E90" i="33"/>
  <c r="E18" i="33" s="1"/>
  <c r="F90" i="33"/>
  <c r="F18" i="33" s="1"/>
  <c r="C90" i="33"/>
  <c r="C18" i="33" s="1"/>
  <c r="C89" i="33"/>
  <c r="C88" i="33"/>
  <c r="C16" i="33" s="1"/>
  <c r="C87" i="33"/>
  <c r="C15" i="33" s="1"/>
  <c r="D130" i="33"/>
  <c r="E130" i="33"/>
  <c r="F130" i="33"/>
  <c r="D131" i="33"/>
  <c r="E131" i="33"/>
  <c r="F131" i="33"/>
  <c r="D132" i="33"/>
  <c r="E132" i="33"/>
  <c r="F132" i="33"/>
  <c r="C132" i="33"/>
  <c r="C131" i="33"/>
  <c r="C130" i="33"/>
  <c r="D135" i="33"/>
  <c r="E135" i="33"/>
  <c r="F135" i="33"/>
  <c r="D136" i="33"/>
  <c r="E136" i="33"/>
  <c r="F136" i="33"/>
  <c r="C136" i="33"/>
  <c r="C135" i="33"/>
  <c r="D111" i="33"/>
  <c r="D39" i="33" s="1"/>
  <c r="E111" i="33"/>
  <c r="E39" i="33" s="1"/>
  <c r="F111" i="33"/>
  <c r="F39" i="33" s="1"/>
  <c r="D113" i="33"/>
  <c r="D41" i="33" s="1"/>
  <c r="E113" i="33"/>
  <c r="E41" i="33" s="1"/>
  <c r="F113" i="33"/>
  <c r="F41" i="33" s="1"/>
  <c r="D114" i="33"/>
  <c r="E114" i="33"/>
  <c r="F114" i="33"/>
  <c r="D115" i="33"/>
  <c r="E115" i="33"/>
  <c r="F115" i="33"/>
  <c r="D116" i="33"/>
  <c r="E116" i="33"/>
  <c r="F116" i="33"/>
  <c r="D119" i="33"/>
  <c r="D47" i="33" s="1"/>
  <c r="E119" i="33"/>
  <c r="E47" i="33" s="1"/>
  <c r="F119" i="33"/>
  <c r="F47" i="33" s="1"/>
  <c r="C119" i="33"/>
  <c r="C47" i="33" s="1"/>
  <c r="C116" i="33"/>
  <c r="C115" i="33"/>
  <c r="C114" i="33"/>
  <c r="C111" i="33"/>
  <c r="C39" i="33" s="1"/>
  <c r="I150" i="33"/>
  <c r="C28" i="33" l="1"/>
  <c r="D13" i="33"/>
  <c r="D9" i="33"/>
  <c r="F49" i="33"/>
  <c r="I181" i="33"/>
  <c r="D31" i="33"/>
  <c r="D14" i="33"/>
  <c r="D30" i="33"/>
  <c r="C38" i="33"/>
  <c r="C24" i="33"/>
  <c r="F23" i="33"/>
  <c r="E22" i="33"/>
  <c r="AK24" i="9"/>
  <c r="AK25" i="9"/>
  <c r="AK26" i="9"/>
  <c r="AK27" i="9"/>
  <c r="AK28" i="9"/>
  <c r="AK29" i="9"/>
  <c r="AK30" i="9"/>
  <c r="AK31" i="9"/>
  <c r="AK32" i="9"/>
  <c r="AK23" i="9"/>
  <c r="F126" i="9"/>
  <c r="H126" i="9"/>
  <c r="J126" i="9"/>
  <c r="L126" i="9"/>
  <c r="N126" i="9"/>
  <c r="P126" i="9"/>
  <c r="R126" i="9"/>
  <c r="T126" i="9"/>
  <c r="V126" i="9"/>
  <c r="E126" i="9"/>
  <c r="K126" i="9"/>
  <c r="O126" i="9"/>
  <c r="S126" i="9"/>
  <c r="W126" i="9"/>
  <c r="D126" i="9"/>
  <c r="C57" i="9"/>
  <c r="D57" i="9" s="1"/>
  <c r="E57" i="9" s="1"/>
  <c r="F57" i="9" s="1"/>
  <c r="G57" i="9" s="1"/>
  <c r="H57" i="9" s="1"/>
  <c r="I57" i="9" s="1"/>
  <c r="J57" i="9" s="1"/>
  <c r="K57" i="9" s="1"/>
  <c r="L57" i="9" s="1"/>
  <c r="M57" i="9" s="1"/>
  <c r="N57" i="9" s="1"/>
  <c r="O57" i="9" s="1"/>
  <c r="P57" i="9" s="1"/>
  <c r="Q57" i="9" s="1"/>
  <c r="R57" i="9" s="1"/>
  <c r="S57" i="9" s="1"/>
  <c r="T57" i="9" s="1"/>
  <c r="U57" i="9" s="1"/>
  <c r="V57" i="9" s="1"/>
  <c r="W57" i="9" s="1"/>
  <c r="W58" i="9" s="1"/>
  <c r="M58" i="9"/>
  <c r="N58" i="9"/>
  <c r="AC82" i="9"/>
  <c r="AB82" i="9"/>
  <c r="AD77" i="9"/>
  <c r="AC123" i="9"/>
  <c r="AB123" i="9"/>
  <c r="AC122" i="9"/>
  <c r="AB122" i="9"/>
  <c r="AC121" i="9"/>
  <c r="AB121" i="9"/>
  <c r="AC120" i="9"/>
  <c r="AB120" i="9"/>
  <c r="AB119" i="9"/>
  <c r="AE119" i="9" s="1"/>
  <c r="AC118" i="9"/>
  <c r="AB118" i="9"/>
  <c r="AC117" i="9"/>
  <c r="AB117" i="9"/>
  <c r="AC116" i="9"/>
  <c r="AB116" i="9"/>
  <c r="AC115" i="9"/>
  <c r="AB115" i="9"/>
  <c r="AC114" i="9"/>
  <c r="AB114" i="9"/>
  <c r="AC113" i="9"/>
  <c r="AB113" i="9"/>
  <c r="AC112" i="9"/>
  <c r="AB112" i="9"/>
  <c r="AC111" i="9"/>
  <c r="AB111" i="9"/>
  <c r="AC110" i="9"/>
  <c r="AB110" i="9"/>
  <c r="AC109" i="9"/>
  <c r="AB109" i="9"/>
  <c r="AC108" i="9"/>
  <c r="AB108" i="9"/>
  <c r="AC107" i="9"/>
  <c r="AB107" i="9"/>
  <c r="AC106" i="9"/>
  <c r="AB106" i="9"/>
  <c r="AC105" i="9"/>
  <c r="AB105" i="9"/>
  <c r="AC104" i="9"/>
  <c r="AB104" i="9"/>
  <c r="AC103" i="9"/>
  <c r="AB103" i="9"/>
  <c r="AC102" i="9"/>
  <c r="AB102" i="9"/>
  <c r="AC101" i="9"/>
  <c r="AB101" i="9"/>
  <c r="AC100" i="9"/>
  <c r="AB100" i="9"/>
  <c r="AC99" i="9"/>
  <c r="AB99" i="9"/>
  <c r="AC98" i="9"/>
  <c r="AB98" i="9"/>
  <c r="AC97" i="9"/>
  <c r="AB97" i="9"/>
  <c r="AC96" i="9"/>
  <c r="AB96" i="9"/>
  <c r="AC95" i="9"/>
  <c r="AB95" i="9"/>
  <c r="AC94" i="9"/>
  <c r="AB94" i="9"/>
  <c r="AC93" i="9"/>
  <c r="AB93" i="9"/>
  <c r="AC92" i="9"/>
  <c r="AB92" i="9"/>
  <c r="AC91" i="9"/>
  <c r="AB91" i="9"/>
  <c r="AC90" i="9"/>
  <c r="AB90" i="9"/>
  <c r="AC89" i="9"/>
  <c r="AB89" i="9"/>
  <c r="AC88" i="9"/>
  <c r="AB88" i="9"/>
  <c r="AC87" i="9"/>
  <c r="AB87" i="9"/>
  <c r="AC86" i="9"/>
  <c r="AB86" i="9"/>
  <c r="AC84" i="9"/>
  <c r="AB84" i="9"/>
  <c r="AC83" i="9"/>
  <c r="AB83" i="9"/>
  <c r="AC81" i="9"/>
  <c r="AB81" i="9"/>
  <c r="AC80" i="9"/>
  <c r="AB80" i="9"/>
  <c r="AC79" i="9"/>
  <c r="AB79" i="9"/>
  <c r="AC78" i="9"/>
  <c r="AB78" i="9"/>
  <c r="AC77" i="9"/>
  <c r="AB77" i="9"/>
  <c r="AE77" i="9" s="1"/>
  <c r="AB79" i="8"/>
  <c r="AD124" i="9"/>
  <c r="AE124" i="9" s="1"/>
  <c r="AF124" i="9" s="1"/>
  <c r="AD123" i="9"/>
  <c r="AD122" i="9"/>
  <c r="AD121" i="9"/>
  <c r="AD120" i="9"/>
  <c r="AD116" i="9"/>
  <c r="AD115" i="9"/>
  <c r="AD114" i="9"/>
  <c r="AD113" i="9"/>
  <c r="AD112" i="9"/>
  <c r="AD111" i="9"/>
  <c r="AD110" i="9"/>
  <c r="AD109" i="9"/>
  <c r="AE109" i="9" s="1"/>
  <c r="AF109" i="9" s="1"/>
  <c r="AD108" i="9"/>
  <c r="AD107" i="9"/>
  <c r="AD106" i="9"/>
  <c r="AD105" i="9"/>
  <c r="AD104" i="9"/>
  <c r="AD103" i="9"/>
  <c r="AD102" i="9"/>
  <c r="AD101" i="9"/>
  <c r="AD100" i="9"/>
  <c r="AD99" i="9"/>
  <c r="AD98" i="9"/>
  <c r="AD97" i="9"/>
  <c r="AD96" i="9"/>
  <c r="AD95" i="9"/>
  <c r="AD94" i="9"/>
  <c r="AD93" i="9"/>
  <c r="AD92" i="9"/>
  <c r="AD91" i="9"/>
  <c r="AD90" i="9"/>
  <c r="AD89" i="9"/>
  <c r="AD88" i="9"/>
  <c r="AD87" i="9"/>
  <c r="AD86" i="9"/>
  <c r="AE86" i="9"/>
  <c r="AF86" i="9" s="1"/>
  <c r="AD84" i="9"/>
  <c r="AD83" i="9"/>
  <c r="AD82" i="9"/>
  <c r="AD81" i="9"/>
  <c r="AD80" i="9"/>
  <c r="AD79" i="9"/>
  <c r="AD78" i="9"/>
  <c r="AC55" i="9"/>
  <c r="AE55" i="9" s="1"/>
  <c r="AB55" i="9"/>
  <c r="AC54" i="9"/>
  <c r="AB54" i="9"/>
  <c r="AC53" i="9"/>
  <c r="AB53" i="9"/>
  <c r="AC52" i="9"/>
  <c r="AB52" i="9"/>
  <c r="AE51" i="9"/>
  <c r="AC51" i="9"/>
  <c r="AB51" i="9"/>
  <c r="AC50" i="9"/>
  <c r="AB50" i="9"/>
  <c r="AE50" i="9" s="1"/>
  <c r="AC49" i="9"/>
  <c r="AB49" i="9"/>
  <c r="AC48" i="9"/>
  <c r="AB48" i="9"/>
  <c r="AE48" i="9" s="1"/>
  <c r="AC47" i="9"/>
  <c r="AB47" i="9"/>
  <c r="AC46" i="9"/>
  <c r="AB46" i="9"/>
  <c r="AE46" i="9" s="1"/>
  <c r="AC45" i="9"/>
  <c r="AS10" i="9" s="1"/>
  <c r="AB45" i="9"/>
  <c r="AC44" i="9"/>
  <c r="AB44" i="9"/>
  <c r="AE44" i="9" s="1"/>
  <c r="AC43" i="9"/>
  <c r="AB43" i="9"/>
  <c r="AE43" i="9" s="1"/>
  <c r="AD42" i="9"/>
  <c r="AC42" i="9"/>
  <c r="AB42" i="9"/>
  <c r="AD41" i="9"/>
  <c r="AC41" i="9"/>
  <c r="AB41" i="9"/>
  <c r="AD40" i="9"/>
  <c r="AC40" i="9"/>
  <c r="AB40" i="9"/>
  <c r="AD39" i="9"/>
  <c r="AC39" i="9"/>
  <c r="AB39" i="9"/>
  <c r="AD38" i="9"/>
  <c r="AC38" i="9"/>
  <c r="AB38" i="9"/>
  <c r="AD37" i="9"/>
  <c r="AC37" i="9"/>
  <c r="AB37" i="9"/>
  <c r="AD36" i="9"/>
  <c r="AC36" i="9"/>
  <c r="AB36" i="9"/>
  <c r="AD35" i="9"/>
  <c r="AC35" i="9"/>
  <c r="AB35" i="9"/>
  <c r="AD34" i="9"/>
  <c r="AC34" i="9"/>
  <c r="AB34" i="9"/>
  <c r="AD33" i="9"/>
  <c r="AC33" i="9"/>
  <c r="AS9" i="9" s="1"/>
  <c r="AB33" i="9"/>
  <c r="AE33" i="9" s="1"/>
  <c r="AT9" i="9" s="1"/>
  <c r="AD32" i="9"/>
  <c r="AC32" i="9"/>
  <c r="AE32" i="9" s="1"/>
  <c r="AB32" i="9"/>
  <c r="AD31" i="9"/>
  <c r="AC31" i="9"/>
  <c r="AB31" i="9"/>
  <c r="AD30" i="9"/>
  <c r="AC30" i="9"/>
  <c r="AB30" i="9"/>
  <c r="AD29" i="9"/>
  <c r="AC29" i="9"/>
  <c r="AB29" i="9"/>
  <c r="AE29" i="9" s="1"/>
  <c r="AD28" i="9"/>
  <c r="AC28" i="9"/>
  <c r="AE28" i="9" s="1"/>
  <c r="AB28" i="9"/>
  <c r="AD27" i="9"/>
  <c r="AC27" i="9"/>
  <c r="AS7" i="9" s="1"/>
  <c r="AB27" i="9"/>
  <c r="AD26" i="9"/>
  <c r="AC26" i="9"/>
  <c r="AB26" i="9"/>
  <c r="AD25" i="9"/>
  <c r="AC25" i="9"/>
  <c r="AB25" i="9"/>
  <c r="AE25" i="9" s="1"/>
  <c r="AD24" i="9"/>
  <c r="AC24" i="9"/>
  <c r="AE24" i="9" s="1"/>
  <c r="AB24" i="9"/>
  <c r="AD23" i="9"/>
  <c r="AC23" i="9"/>
  <c r="AB23" i="9"/>
  <c r="AD21" i="9"/>
  <c r="AC21" i="9"/>
  <c r="AB21" i="9"/>
  <c r="AD20" i="9"/>
  <c r="AC20" i="9"/>
  <c r="AB20" i="9"/>
  <c r="AE20" i="9" s="1"/>
  <c r="AD19" i="9"/>
  <c r="AC19" i="9"/>
  <c r="AE19" i="9" s="1"/>
  <c r="AB19" i="9"/>
  <c r="AD18" i="9"/>
  <c r="AC18" i="9"/>
  <c r="AB18" i="9"/>
  <c r="AD17" i="9"/>
  <c r="AC17" i="9"/>
  <c r="AB17" i="9"/>
  <c r="AD16" i="9"/>
  <c r="AC16" i="9"/>
  <c r="AB16" i="9"/>
  <c r="AE16" i="9" s="1"/>
  <c r="AD15" i="9"/>
  <c r="AC15" i="9"/>
  <c r="AE15" i="9" s="1"/>
  <c r="AB15" i="9"/>
  <c r="AD13" i="9"/>
  <c r="AC13" i="9"/>
  <c r="AB13" i="9"/>
  <c r="AD12" i="9"/>
  <c r="AC12" i="9"/>
  <c r="AB12" i="9"/>
  <c r="AD11" i="9"/>
  <c r="AC11" i="9"/>
  <c r="AB11" i="9"/>
  <c r="AD10" i="9"/>
  <c r="AC10" i="9"/>
  <c r="AB10" i="9"/>
  <c r="AD9" i="9"/>
  <c r="AC9" i="9"/>
  <c r="AB9" i="9"/>
  <c r="AD8" i="9"/>
  <c r="AC8" i="9"/>
  <c r="AB8" i="9"/>
  <c r="AD7" i="9"/>
  <c r="AC7" i="9"/>
  <c r="AB7" i="9"/>
  <c r="AE7" i="9" s="1"/>
  <c r="AD6" i="9"/>
  <c r="AC6" i="9"/>
  <c r="AB6" i="9"/>
  <c r="AD5" i="9"/>
  <c r="AC5" i="9"/>
  <c r="AU9" i="9" l="1"/>
  <c r="AE94" i="9"/>
  <c r="AF94" i="9" s="1"/>
  <c r="AE54" i="9"/>
  <c r="O58" i="9"/>
  <c r="AE35" i="9"/>
  <c r="AE39" i="9"/>
  <c r="T58" i="9"/>
  <c r="I58" i="9"/>
  <c r="R58" i="9"/>
  <c r="G58" i="9"/>
  <c r="AU7" i="9"/>
  <c r="AE36" i="9"/>
  <c r="AE37" i="9"/>
  <c r="AE40" i="9"/>
  <c r="AF40" i="9" s="1"/>
  <c r="AE41" i="9"/>
  <c r="AF41" i="9" s="1"/>
  <c r="AE82" i="9"/>
  <c r="AF82" i="9" s="1"/>
  <c r="AE98" i="9"/>
  <c r="AF98" i="9" s="1"/>
  <c r="AE106" i="9"/>
  <c r="AF106" i="9" s="1"/>
  <c r="K58" i="9"/>
  <c r="AE18" i="9"/>
  <c r="AE23" i="9"/>
  <c r="AE27" i="9"/>
  <c r="AT7" i="9" s="1"/>
  <c r="AE31" i="9"/>
  <c r="AF31" i="9" s="1"/>
  <c r="AE87" i="9"/>
  <c r="AF87" i="9" s="1"/>
  <c r="AE91" i="9"/>
  <c r="AF91" i="9" s="1"/>
  <c r="AE117" i="9"/>
  <c r="V58" i="9"/>
  <c r="Q58" i="9"/>
  <c r="L58" i="9"/>
  <c r="F58" i="9"/>
  <c r="H58" i="9"/>
  <c r="AE8" i="9"/>
  <c r="AE17" i="9"/>
  <c r="AE21" i="9"/>
  <c r="AE34" i="9"/>
  <c r="AF34" i="9" s="1"/>
  <c r="AE42" i="9"/>
  <c r="AE53" i="9"/>
  <c r="AE100" i="9"/>
  <c r="AF100" i="9" s="1"/>
  <c r="AE112" i="9"/>
  <c r="AF112" i="9" s="1"/>
  <c r="U58" i="9"/>
  <c r="P58" i="9"/>
  <c r="J58" i="9"/>
  <c r="D58" i="9"/>
  <c r="S58" i="9"/>
  <c r="E58" i="9"/>
  <c r="AE5" i="9"/>
  <c r="AF5" i="9" s="1"/>
  <c r="U126" i="9"/>
  <c r="M126" i="9"/>
  <c r="Q126" i="9"/>
  <c r="I126" i="9"/>
  <c r="AE121" i="9"/>
  <c r="AF121" i="9" s="1"/>
  <c r="AE118" i="9"/>
  <c r="AE113" i="9"/>
  <c r="AE115" i="9"/>
  <c r="AF115" i="9" s="1"/>
  <c r="AE105" i="9"/>
  <c r="AF105" i="9" s="1"/>
  <c r="AE107" i="9"/>
  <c r="AF107" i="9" s="1"/>
  <c r="AE111" i="9"/>
  <c r="AF111" i="9" s="1"/>
  <c r="AE97" i="9"/>
  <c r="AE101" i="9"/>
  <c r="AF101" i="9" s="1"/>
  <c r="AE102" i="9"/>
  <c r="AF102" i="9" s="1"/>
  <c r="AE95" i="9"/>
  <c r="AF95" i="9" s="1"/>
  <c r="AE45" i="9"/>
  <c r="AT10" i="9" s="1"/>
  <c r="AU10" i="9" s="1"/>
  <c r="AE47" i="9"/>
  <c r="AF47" i="9" s="1"/>
  <c r="AE79" i="9"/>
  <c r="AF79" i="9" s="1"/>
  <c r="AE83" i="9"/>
  <c r="AF83" i="9" s="1"/>
  <c r="AF77" i="9"/>
  <c r="AS8" i="9"/>
  <c r="AE10" i="9"/>
  <c r="AE9" i="9"/>
  <c r="AF9" i="9" s="1"/>
  <c r="AE13" i="9"/>
  <c r="AF13" i="9" s="1"/>
  <c r="AE6" i="9"/>
  <c r="AF6" i="9" s="1"/>
  <c r="AE11" i="9"/>
  <c r="G126" i="9"/>
  <c r="AF8" i="9"/>
  <c r="AE93" i="9"/>
  <c r="AF93" i="9" s="1"/>
  <c r="AE99" i="9"/>
  <c r="AF99" i="9" s="1"/>
  <c r="AE12" i="9"/>
  <c r="AF12" i="9" s="1"/>
  <c r="AE52" i="9"/>
  <c r="AF52" i="9" s="1"/>
  <c r="AE80" i="9"/>
  <c r="AF80" i="9" s="1"/>
  <c r="AE81" i="9"/>
  <c r="AF81" i="9" s="1"/>
  <c r="AE89" i="9"/>
  <c r="AF89" i="9" s="1"/>
  <c r="AE90" i="9"/>
  <c r="AF90" i="9" s="1"/>
  <c r="AF23" i="9"/>
  <c r="AE103" i="9"/>
  <c r="AF103" i="9" s="1"/>
  <c r="AF20" i="9"/>
  <c r="AE49" i="9"/>
  <c r="AF49" i="9" s="1"/>
  <c r="AE110" i="9"/>
  <c r="AF110" i="9" s="1"/>
  <c r="AE114" i="9"/>
  <c r="AF114" i="9" s="1"/>
  <c r="AE120" i="9"/>
  <c r="AF120" i="9" s="1"/>
  <c r="AE122" i="9"/>
  <c r="AF122" i="9" s="1"/>
  <c r="AF16" i="9"/>
  <c r="AF42" i="9"/>
  <c r="AE26" i="9"/>
  <c r="AF26" i="9" s="1"/>
  <c r="AE30" i="9"/>
  <c r="AF30" i="9" s="1"/>
  <c r="AE38" i="9"/>
  <c r="AF38" i="9" s="1"/>
  <c r="AE88" i="9"/>
  <c r="AF88" i="9" s="1"/>
  <c r="AE92" i="9"/>
  <c r="AF92" i="9" s="1"/>
  <c r="AE78" i="9"/>
  <c r="AF78" i="9" s="1"/>
  <c r="AE84" i="9"/>
  <c r="AF84" i="9" s="1"/>
  <c r="AE96" i="9"/>
  <c r="AF96" i="9" s="1"/>
  <c r="AE104" i="9"/>
  <c r="AF104" i="9" s="1"/>
  <c r="AE108" i="9"/>
  <c r="AF108" i="9" s="1"/>
  <c r="AE116" i="9"/>
  <c r="AF116" i="9" s="1"/>
  <c r="AE123" i="9"/>
  <c r="AF123" i="9" s="1"/>
  <c r="AF97" i="9"/>
  <c r="AF113" i="9"/>
  <c r="AF117" i="9"/>
  <c r="AF118" i="9"/>
  <c r="AF119" i="9"/>
  <c r="AF15" i="9"/>
  <c r="AF53" i="9"/>
  <c r="AF17" i="9"/>
  <c r="AF19" i="9"/>
  <c r="AF25" i="9"/>
  <c r="AF29" i="9"/>
  <c r="AF43" i="9"/>
  <c r="AF51" i="9"/>
  <c r="AF54" i="9"/>
  <c r="AF18" i="9"/>
  <c r="AF21" i="9"/>
  <c r="AF33" i="9"/>
  <c r="AF35" i="9"/>
  <c r="AF7" i="9"/>
  <c r="AF11" i="9"/>
  <c r="AF24" i="9"/>
  <c r="AF32" i="9"/>
  <c r="AF37" i="9"/>
  <c r="AF46" i="9"/>
  <c r="AF48" i="9"/>
  <c r="AF55" i="9"/>
  <c r="AF36" i="9"/>
  <c r="AF10" i="9"/>
  <c r="AF28" i="9"/>
  <c r="AF39" i="9"/>
  <c r="AF44" i="9"/>
  <c r="AF50" i="9"/>
  <c r="AT8" i="9" l="1"/>
  <c r="AU8" i="9" s="1"/>
  <c r="AF45" i="9"/>
  <c r="AF27" i="9"/>
  <c r="D70" i="35"/>
  <c r="H70" i="35" l="1"/>
  <c r="I70" i="35"/>
  <c r="K70" i="35" l="1"/>
  <c r="J70" i="35"/>
  <c r="AE129" i="8" l="1"/>
  <c r="AB81" i="8"/>
  <c r="AC81" i="8"/>
  <c r="AD81" i="8"/>
  <c r="AB82" i="8"/>
  <c r="AC82" i="8"/>
  <c r="AJ111" i="8" s="1"/>
  <c r="AD82" i="8"/>
  <c r="AB83" i="8"/>
  <c r="AC83" i="8"/>
  <c r="AJ119" i="8" s="1"/>
  <c r="AD83" i="8"/>
  <c r="AB84" i="8"/>
  <c r="AC84" i="8"/>
  <c r="AD84" i="8"/>
  <c r="AB85" i="8"/>
  <c r="AC85" i="8"/>
  <c r="AD85" i="8"/>
  <c r="AB86" i="8"/>
  <c r="AC86" i="8"/>
  <c r="AD86" i="8"/>
  <c r="AB87" i="8"/>
  <c r="AC87" i="8"/>
  <c r="AJ110" i="8" s="1"/>
  <c r="AD87" i="8"/>
  <c r="AB88" i="8"/>
  <c r="AC88" i="8"/>
  <c r="AQ80" i="8" s="1"/>
  <c r="AS80" i="8" s="1"/>
  <c r="AD88" i="8"/>
  <c r="AB89" i="8"/>
  <c r="AC89" i="8"/>
  <c r="AJ115" i="8" s="1"/>
  <c r="AD89" i="8"/>
  <c r="AB90" i="8"/>
  <c r="AC90" i="8"/>
  <c r="AD90" i="8"/>
  <c r="AB91" i="8"/>
  <c r="AC91" i="8"/>
  <c r="AJ112" i="8" s="1"/>
  <c r="AD91" i="8"/>
  <c r="AB92" i="8"/>
  <c r="AC92" i="8"/>
  <c r="AQ84" i="8" s="1"/>
  <c r="AD92" i="8"/>
  <c r="AB93" i="8"/>
  <c r="AC93" i="8"/>
  <c r="AD93" i="8"/>
  <c r="AB94" i="8"/>
  <c r="AC94" i="8"/>
  <c r="AD94" i="8"/>
  <c r="AB95" i="8"/>
  <c r="AC95" i="8"/>
  <c r="AD95" i="8"/>
  <c r="AB96" i="8"/>
  <c r="AC96" i="8"/>
  <c r="AQ83" i="8" s="1"/>
  <c r="AD96" i="8"/>
  <c r="AB97" i="8"/>
  <c r="AC97" i="8"/>
  <c r="AD97" i="8"/>
  <c r="AB98" i="8"/>
  <c r="AC98" i="8"/>
  <c r="AD98" i="8"/>
  <c r="AB99" i="8"/>
  <c r="AC99" i="8"/>
  <c r="AJ116" i="8" s="1"/>
  <c r="AD99" i="8"/>
  <c r="AB100" i="8"/>
  <c r="AC100" i="8"/>
  <c r="AD100" i="8"/>
  <c r="AB101" i="8"/>
  <c r="AC101" i="8"/>
  <c r="AQ81" i="8" s="1"/>
  <c r="AD101" i="8"/>
  <c r="AB102" i="8"/>
  <c r="AC102" i="8"/>
  <c r="AJ114" i="8" s="1"/>
  <c r="AD102" i="8"/>
  <c r="AB103" i="8"/>
  <c r="AC103" i="8"/>
  <c r="AJ117" i="8" s="1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Q82" i="8" s="1"/>
  <c r="AD118" i="8"/>
  <c r="AB119" i="8"/>
  <c r="AC119" i="8"/>
  <c r="AJ113" i="8" s="1"/>
  <c r="AD119" i="8"/>
  <c r="AB120" i="8"/>
  <c r="AC120" i="8"/>
  <c r="AJ118" i="8" s="1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80" i="8"/>
  <c r="AC80" i="8"/>
  <c r="AD80" i="8"/>
  <c r="AD79" i="8"/>
  <c r="AC7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B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C57" i="8"/>
  <c r="C58" i="8" s="1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B57" i="8"/>
  <c r="C130" i="8" l="1"/>
  <c r="D130" i="8" s="1"/>
  <c r="D131" i="8" s="1"/>
  <c r="X131" i="8"/>
  <c r="AQ79" i="8"/>
  <c r="AS79" i="8" s="1"/>
  <c r="AF124" i="8"/>
  <c r="AF116" i="8"/>
  <c r="AG116" i="8" s="1"/>
  <c r="AF108" i="8"/>
  <c r="AF100" i="8"/>
  <c r="AG100" i="8" s="1"/>
  <c r="AF92" i="8"/>
  <c r="AF79" i="8"/>
  <c r="AG79" i="8" s="1"/>
  <c r="AF128" i="8"/>
  <c r="AG128" i="8" s="1"/>
  <c r="AF120" i="8"/>
  <c r="AF112" i="8"/>
  <c r="AG112" i="8" s="1"/>
  <c r="AF104" i="8"/>
  <c r="AG104" i="8" s="1"/>
  <c r="AF96" i="8"/>
  <c r="AF88" i="8"/>
  <c r="AG88" i="8" s="1"/>
  <c r="AF126" i="8"/>
  <c r="AG126" i="8" s="1"/>
  <c r="AF118" i="8"/>
  <c r="AF110" i="8"/>
  <c r="AG110" i="8" s="1"/>
  <c r="AF102" i="8"/>
  <c r="AF94" i="8"/>
  <c r="AG94" i="8" s="1"/>
  <c r="AF86" i="8"/>
  <c r="AG86" i="8" s="1"/>
  <c r="AF125" i="8"/>
  <c r="AG125" i="8" s="1"/>
  <c r="AF117" i="8"/>
  <c r="AG117" i="8" s="1"/>
  <c r="AF109" i="8"/>
  <c r="AG109" i="8" s="1"/>
  <c r="AF101" i="8"/>
  <c r="AF93" i="8"/>
  <c r="AG93" i="8" s="1"/>
  <c r="AC129" i="8"/>
  <c r="AF122" i="8"/>
  <c r="AF114" i="8"/>
  <c r="AG114" i="8" s="1"/>
  <c r="AF106" i="8"/>
  <c r="AG106" i="8" s="1"/>
  <c r="AF98" i="8"/>
  <c r="AG98" i="8" s="1"/>
  <c r="AF90" i="8"/>
  <c r="AG90" i="8" s="1"/>
  <c r="AF84" i="8"/>
  <c r="AG84" i="8" s="1"/>
  <c r="AF82" i="8"/>
  <c r="AD129" i="8"/>
  <c r="AG122" i="8"/>
  <c r="AF85" i="8"/>
  <c r="AG85" i="8" s="1"/>
  <c r="AB129" i="8"/>
  <c r="AG124" i="8"/>
  <c r="AF119" i="8"/>
  <c r="AF111" i="8"/>
  <c r="AG111" i="8" s="1"/>
  <c r="AF103" i="8"/>
  <c r="AF95" i="8"/>
  <c r="AG95" i="8" s="1"/>
  <c r="AF87" i="8"/>
  <c r="D58" i="8"/>
  <c r="D59" i="8" s="1"/>
  <c r="AF80" i="8"/>
  <c r="AG80" i="8" s="1"/>
  <c r="AF121" i="8"/>
  <c r="AG121" i="8" s="1"/>
  <c r="AF113" i="8"/>
  <c r="AG113" i="8" s="1"/>
  <c r="AF105" i="8"/>
  <c r="AG105" i="8" s="1"/>
  <c r="AF97" i="8"/>
  <c r="AG97" i="8" s="1"/>
  <c r="AF89" i="8"/>
  <c r="AF81" i="8"/>
  <c r="AG81" i="8" s="1"/>
  <c r="AF123" i="8"/>
  <c r="AG123" i="8" s="1"/>
  <c r="AF115" i="8"/>
  <c r="AG115" i="8" s="1"/>
  <c r="AF107" i="8"/>
  <c r="AG107" i="8" s="1"/>
  <c r="AF99" i="8"/>
  <c r="AF91" i="8"/>
  <c r="AF83" i="8"/>
  <c r="AG108" i="8"/>
  <c r="AF127" i="8"/>
  <c r="Y129" i="8"/>
  <c r="Z79" i="8" s="1"/>
  <c r="P8" i="35"/>
  <c r="P9" i="35"/>
  <c r="P10" i="35"/>
  <c r="P11" i="35"/>
  <c r="P12" i="35"/>
  <c r="P7" i="35"/>
  <c r="U70" i="35"/>
  <c r="U71" i="35"/>
  <c r="U72" i="35"/>
  <c r="U73" i="35"/>
  <c r="U74" i="35"/>
  <c r="U69" i="35"/>
  <c r="U8" i="35"/>
  <c r="U9" i="35"/>
  <c r="U10" i="35"/>
  <c r="U11" i="35"/>
  <c r="U12" i="35"/>
  <c r="AG101" i="8" l="1"/>
  <c r="AR81" i="8"/>
  <c r="AS81" i="8" s="1"/>
  <c r="AG96" i="8"/>
  <c r="AR83" i="8"/>
  <c r="AS83" i="8" s="1"/>
  <c r="AG99" i="8"/>
  <c r="AK116" i="8"/>
  <c r="AL116" i="8" s="1"/>
  <c r="AG87" i="8"/>
  <c r="AK110" i="8"/>
  <c r="AL110" i="8" s="1"/>
  <c r="AG119" i="8"/>
  <c r="AK113" i="8"/>
  <c r="AL113" i="8" s="1"/>
  <c r="AG118" i="8"/>
  <c r="AR82" i="8"/>
  <c r="AS82" i="8" s="1"/>
  <c r="AG92" i="8"/>
  <c r="AR84" i="8"/>
  <c r="AS84" i="8" s="1"/>
  <c r="AG91" i="8"/>
  <c r="AK112" i="8"/>
  <c r="AL112" i="8" s="1"/>
  <c r="AG89" i="8"/>
  <c r="AK115" i="8"/>
  <c r="AL115" i="8" s="1"/>
  <c r="AG83" i="8"/>
  <c r="AK119" i="8"/>
  <c r="AL119" i="8" s="1"/>
  <c r="AG103" i="8"/>
  <c r="AK117" i="8"/>
  <c r="AL117" i="8" s="1"/>
  <c r="AG82" i="8"/>
  <c r="AK111" i="8"/>
  <c r="AL111" i="8" s="1"/>
  <c r="AG102" i="8"/>
  <c r="AK114" i="8"/>
  <c r="AL114" i="8" s="1"/>
  <c r="AG120" i="8"/>
  <c r="AK118" i="8"/>
  <c r="AL118" i="8" s="1"/>
  <c r="E58" i="8"/>
  <c r="E59" i="8" s="1"/>
  <c r="AF129" i="8"/>
  <c r="AG129" i="8" s="1"/>
  <c r="E130" i="8"/>
  <c r="E131" i="8" s="1"/>
  <c r="AG127" i="8"/>
  <c r="N7" i="35"/>
  <c r="C124" i="35"/>
  <c r="B124" i="35"/>
  <c r="J123" i="35"/>
  <c r="H123" i="35"/>
  <c r="E123" i="35"/>
  <c r="K123" i="35" s="1"/>
  <c r="K122" i="35"/>
  <c r="J122" i="35"/>
  <c r="I122" i="35"/>
  <c r="G122" i="35"/>
  <c r="G124" i="35" s="1"/>
  <c r="F122" i="35"/>
  <c r="F124" i="35" s="1"/>
  <c r="E122" i="35"/>
  <c r="E124" i="35" s="1"/>
  <c r="D122" i="35"/>
  <c r="H122" i="35" s="1"/>
  <c r="I121" i="35"/>
  <c r="H121" i="35"/>
  <c r="E121" i="35"/>
  <c r="J121" i="35" s="1"/>
  <c r="G120" i="35"/>
  <c r="F120" i="35"/>
  <c r="E120" i="35"/>
  <c r="K120" i="35" s="1"/>
  <c r="D120" i="35"/>
  <c r="D124" i="35" s="1"/>
  <c r="H119" i="35"/>
  <c r="E119" i="35"/>
  <c r="K119" i="35" s="1"/>
  <c r="K118" i="35"/>
  <c r="I118" i="35"/>
  <c r="G118" i="35"/>
  <c r="F118" i="35"/>
  <c r="E118" i="35"/>
  <c r="J118" i="35" s="1"/>
  <c r="D118" i="35"/>
  <c r="H118" i="35" s="1"/>
  <c r="K117" i="35"/>
  <c r="I117" i="35"/>
  <c r="H117" i="35"/>
  <c r="E117" i="35"/>
  <c r="J117" i="35" s="1"/>
  <c r="J116" i="35"/>
  <c r="I116" i="35"/>
  <c r="H116" i="35"/>
  <c r="G116" i="35"/>
  <c r="F116" i="35"/>
  <c r="E116" i="35"/>
  <c r="K116" i="35" s="1"/>
  <c r="D116" i="35"/>
  <c r="J115" i="35"/>
  <c r="I115" i="35"/>
  <c r="H115" i="35"/>
  <c r="E115" i="35"/>
  <c r="K115" i="35" s="1"/>
  <c r="K114" i="35"/>
  <c r="H114" i="35"/>
  <c r="E114" i="35"/>
  <c r="J114" i="35" s="1"/>
  <c r="K113" i="35"/>
  <c r="J113" i="35"/>
  <c r="I113" i="35"/>
  <c r="H113" i="35"/>
  <c r="E113" i="35"/>
  <c r="H112" i="35"/>
  <c r="E112" i="35"/>
  <c r="K112" i="35" s="1"/>
  <c r="G111" i="35"/>
  <c r="F111" i="35"/>
  <c r="E111" i="35"/>
  <c r="K111" i="35" s="1"/>
  <c r="D111" i="35"/>
  <c r="J111" i="35" s="1"/>
  <c r="K110" i="35"/>
  <c r="J110" i="35"/>
  <c r="H110" i="35"/>
  <c r="E110" i="35"/>
  <c r="I110" i="35" s="1"/>
  <c r="I109" i="35"/>
  <c r="H109" i="35"/>
  <c r="E109" i="35"/>
  <c r="J109" i="35" s="1"/>
  <c r="G108" i="35"/>
  <c r="F108" i="35"/>
  <c r="E108" i="35"/>
  <c r="K108" i="35" s="1"/>
  <c r="D108" i="35"/>
  <c r="H108" i="35" s="1"/>
  <c r="H107" i="35"/>
  <c r="E107" i="35"/>
  <c r="K107" i="35" s="1"/>
  <c r="K106" i="35"/>
  <c r="J106" i="35"/>
  <c r="I106" i="35"/>
  <c r="H106" i="35"/>
  <c r="E106" i="35"/>
  <c r="J105" i="35"/>
  <c r="I105" i="35"/>
  <c r="H105" i="35"/>
  <c r="E105" i="35"/>
  <c r="K105" i="35" s="1"/>
  <c r="E104" i="35"/>
  <c r="H103" i="35"/>
  <c r="E103" i="35"/>
  <c r="K103" i="35" s="1"/>
  <c r="K102" i="35"/>
  <c r="J102" i="35"/>
  <c r="I102" i="35"/>
  <c r="H102" i="35"/>
  <c r="E102" i="35"/>
  <c r="J101" i="35"/>
  <c r="I101" i="35"/>
  <c r="H101" i="35"/>
  <c r="E101" i="35"/>
  <c r="K101" i="35" s="1"/>
  <c r="K100" i="35"/>
  <c r="H100" i="35"/>
  <c r="E100" i="35"/>
  <c r="J100" i="35" s="1"/>
  <c r="K99" i="35"/>
  <c r="J99" i="35"/>
  <c r="I99" i="35"/>
  <c r="H99" i="35"/>
  <c r="E99" i="35"/>
  <c r="H98" i="35"/>
  <c r="G98" i="35"/>
  <c r="F98" i="35"/>
  <c r="E98" i="35"/>
  <c r="K98" i="35" s="1"/>
  <c r="D98" i="35"/>
  <c r="H97" i="35"/>
  <c r="E97" i="35"/>
  <c r="K97" i="35" s="1"/>
  <c r="K96" i="35"/>
  <c r="J96" i="35"/>
  <c r="I96" i="35"/>
  <c r="H96" i="35"/>
  <c r="E96" i="35"/>
  <c r="I95" i="35"/>
  <c r="H95" i="35"/>
  <c r="E95" i="35"/>
  <c r="J95" i="35" s="1"/>
  <c r="H94" i="35"/>
  <c r="E94" i="35"/>
  <c r="K94" i="35" s="1"/>
  <c r="K93" i="35"/>
  <c r="J93" i="35"/>
  <c r="I93" i="35"/>
  <c r="H93" i="35"/>
  <c r="E93" i="35"/>
  <c r="J92" i="35"/>
  <c r="I92" i="35"/>
  <c r="H92" i="35"/>
  <c r="G92" i="35"/>
  <c r="F92" i="35"/>
  <c r="E92" i="35"/>
  <c r="K92" i="35" s="1"/>
  <c r="D92" i="35"/>
  <c r="J91" i="35"/>
  <c r="I91" i="35"/>
  <c r="H91" i="35"/>
  <c r="E91" i="35"/>
  <c r="K91" i="35" s="1"/>
  <c r="K90" i="35"/>
  <c r="H90" i="35"/>
  <c r="E90" i="35"/>
  <c r="J90" i="35" s="1"/>
  <c r="K89" i="35"/>
  <c r="J89" i="35"/>
  <c r="I89" i="35"/>
  <c r="H89" i="35"/>
  <c r="E89" i="35"/>
  <c r="H88" i="35"/>
  <c r="E88" i="35"/>
  <c r="K88" i="35" s="1"/>
  <c r="G87" i="35"/>
  <c r="F87" i="35"/>
  <c r="E87" i="35"/>
  <c r="K87" i="35" s="1"/>
  <c r="D87" i="35"/>
  <c r="J87" i="35" s="1"/>
  <c r="K86" i="35"/>
  <c r="J86" i="35"/>
  <c r="I86" i="35"/>
  <c r="H86" i="35"/>
  <c r="E86" i="35"/>
  <c r="H85" i="35"/>
  <c r="E85" i="35"/>
  <c r="J85" i="35" s="1"/>
  <c r="H84" i="35"/>
  <c r="E84" i="35"/>
  <c r="K84" i="35" s="1"/>
  <c r="K83" i="35"/>
  <c r="I83" i="35"/>
  <c r="G83" i="35"/>
  <c r="F83" i="35"/>
  <c r="E83" i="35"/>
  <c r="J83" i="35" s="1"/>
  <c r="D83" i="35"/>
  <c r="H83" i="35" s="1"/>
  <c r="K82" i="35"/>
  <c r="J82" i="35"/>
  <c r="I82" i="35"/>
  <c r="H82" i="35"/>
  <c r="E82" i="35"/>
  <c r="J81" i="35"/>
  <c r="I81" i="35"/>
  <c r="H81" i="35"/>
  <c r="E81" i="35"/>
  <c r="K81" i="35" s="1"/>
  <c r="K80" i="35"/>
  <c r="H80" i="35"/>
  <c r="E80" i="35"/>
  <c r="J80" i="35" s="1"/>
  <c r="J79" i="35"/>
  <c r="I79" i="35"/>
  <c r="H79" i="35"/>
  <c r="G79" i="35"/>
  <c r="F79" i="35"/>
  <c r="E79" i="35"/>
  <c r="D79" i="35"/>
  <c r="K79" i="35" s="1"/>
  <c r="K78" i="35"/>
  <c r="J78" i="35"/>
  <c r="I78" i="35"/>
  <c r="H78" i="35"/>
  <c r="E78" i="35"/>
  <c r="H77" i="35"/>
  <c r="E77" i="35"/>
  <c r="I77" i="35" s="1"/>
  <c r="K76" i="35"/>
  <c r="J76" i="35"/>
  <c r="I76" i="35"/>
  <c r="H76" i="35"/>
  <c r="E76" i="35"/>
  <c r="H75" i="35"/>
  <c r="E75" i="35"/>
  <c r="J75" i="35" s="1"/>
  <c r="H74" i="35"/>
  <c r="E74" i="35"/>
  <c r="K74" i="35" s="1"/>
  <c r="K73" i="35"/>
  <c r="J73" i="35"/>
  <c r="I73" i="35"/>
  <c r="H73" i="35"/>
  <c r="E73" i="35"/>
  <c r="J72" i="35"/>
  <c r="I72" i="35"/>
  <c r="H72" i="35"/>
  <c r="E72" i="35"/>
  <c r="K72" i="35" s="1"/>
  <c r="K71" i="35"/>
  <c r="H71" i="35"/>
  <c r="E71" i="35"/>
  <c r="J71" i="35" s="1"/>
  <c r="G70" i="35"/>
  <c r="F70" i="35"/>
  <c r="E70" i="35"/>
  <c r="C64" i="35"/>
  <c r="K63" i="35"/>
  <c r="J63" i="35"/>
  <c r="I63" i="35"/>
  <c r="H63" i="35"/>
  <c r="E63" i="35"/>
  <c r="J62" i="35"/>
  <c r="I62" i="35"/>
  <c r="H62" i="35"/>
  <c r="E62" i="35"/>
  <c r="K62" i="35" s="1"/>
  <c r="K61" i="35"/>
  <c r="H61" i="35"/>
  <c r="E61" i="35"/>
  <c r="J61" i="35" s="1"/>
  <c r="K60" i="35"/>
  <c r="J60" i="35"/>
  <c r="I60" i="35"/>
  <c r="H60" i="35"/>
  <c r="E60" i="35"/>
  <c r="H59" i="35"/>
  <c r="E59" i="35"/>
  <c r="I59" i="35" s="1"/>
  <c r="H58" i="35"/>
  <c r="E58" i="35"/>
  <c r="K58" i="35" s="1"/>
  <c r="H57" i="35"/>
  <c r="E57" i="35"/>
  <c r="J57" i="35" s="1"/>
  <c r="H56" i="35"/>
  <c r="E56" i="35"/>
  <c r="K56" i="35" s="1"/>
  <c r="K55" i="35"/>
  <c r="J55" i="35"/>
  <c r="I55" i="35"/>
  <c r="H55" i="35"/>
  <c r="E55" i="35"/>
  <c r="J54" i="35"/>
  <c r="I54" i="35"/>
  <c r="H54" i="35"/>
  <c r="E54" i="35"/>
  <c r="K54" i="35" s="1"/>
  <c r="K53" i="35"/>
  <c r="H53" i="35"/>
  <c r="E53" i="35"/>
  <c r="J53" i="35" s="1"/>
  <c r="K52" i="35"/>
  <c r="J52" i="35"/>
  <c r="I52" i="35"/>
  <c r="H52" i="35"/>
  <c r="E52" i="35"/>
  <c r="H51" i="35"/>
  <c r="E51" i="35"/>
  <c r="I51" i="35" s="1"/>
  <c r="K50" i="35"/>
  <c r="J50" i="35"/>
  <c r="I50" i="35"/>
  <c r="H50" i="35"/>
  <c r="E50" i="35"/>
  <c r="H49" i="35"/>
  <c r="E49" i="35"/>
  <c r="J49" i="35" s="1"/>
  <c r="H48" i="35"/>
  <c r="E48" i="35"/>
  <c r="K48" i="35" s="1"/>
  <c r="H47" i="35"/>
  <c r="E47" i="35"/>
  <c r="K47" i="35" s="1"/>
  <c r="J46" i="35"/>
  <c r="H46" i="35"/>
  <c r="E46" i="35"/>
  <c r="K46" i="35" s="1"/>
  <c r="K45" i="35"/>
  <c r="H45" i="35"/>
  <c r="E45" i="35"/>
  <c r="J45" i="35" s="1"/>
  <c r="K44" i="35"/>
  <c r="J44" i="35"/>
  <c r="I44" i="35"/>
  <c r="H44" i="35"/>
  <c r="E44" i="35"/>
  <c r="H43" i="35"/>
  <c r="E43" i="35"/>
  <c r="I43" i="35" s="1"/>
  <c r="K42" i="35"/>
  <c r="J42" i="35"/>
  <c r="I42" i="35"/>
  <c r="H42" i="35"/>
  <c r="E42" i="35"/>
  <c r="H41" i="35"/>
  <c r="E41" i="35"/>
  <c r="J41" i="35" s="1"/>
  <c r="H40" i="35"/>
  <c r="E40" i="35"/>
  <c r="K40" i="35" s="1"/>
  <c r="K39" i="35"/>
  <c r="J39" i="35"/>
  <c r="I39" i="35"/>
  <c r="H39" i="35"/>
  <c r="E39" i="35"/>
  <c r="J38" i="35"/>
  <c r="I38" i="35"/>
  <c r="H38" i="35"/>
  <c r="E38" i="35"/>
  <c r="K38" i="35" s="1"/>
  <c r="K37" i="35"/>
  <c r="H37" i="35"/>
  <c r="E37" i="35"/>
  <c r="J37" i="35" s="1"/>
  <c r="K36" i="35"/>
  <c r="J36" i="35"/>
  <c r="I36" i="35"/>
  <c r="H36" i="35"/>
  <c r="E36" i="35"/>
  <c r="H35" i="35"/>
  <c r="E35" i="35"/>
  <c r="I35" i="35" s="1"/>
  <c r="K34" i="35"/>
  <c r="J34" i="35"/>
  <c r="I34" i="35"/>
  <c r="H34" i="35"/>
  <c r="E34" i="35"/>
  <c r="H33" i="35"/>
  <c r="E33" i="35"/>
  <c r="J33" i="35" s="1"/>
  <c r="H32" i="35"/>
  <c r="E32" i="35"/>
  <c r="K32" i="35" s="1"/>
  <c r="K31" i="35"/>
  <c r="J31" i="35"/>
  <c r="I31" i="35"/>
  <c r="H31" i="35"/>
  <c r="E31" i="35"/>
  <c r="H30" i="35"/>
  <c r="E30" i="35"/>
  <c r="K30" i="35" s="1"/>
  <c r="K29" i="35"/>
  <c r="H29" i="35"/>
  <c r="E29" i="35"/>
  <c r="J29" i="35" s="1"/>
  <c r="K28" i="35"/>
  <c r="J28" i="35"/>
  <c r="I28" i="35"/>
  <c r="H28" i="35"/>
  <c r="E28" i="35"/>
  <c r="H27" i="35"/>
  <c r="E27" i="35"/>
  <c r="I27" i="35" s="1"/>
  <c r="K26" i="35"/>
  <c r="J26" i="35"/>
  <c r="I26" i="35"/>
  <c r="H26" i="35"/>
  <c r="E26" i="35"/>
  <c r="H25" i="35"/>
  <c r="E25" i="35"/>
  <c r="J25" i="35" s="1"/>
  <c r="B25" i="35"/>
  <c r="H24" i="35"/>
  <c r="E24" i="35"/>
  <c r="I24" i="35" s="1"/>
  <c r="K23" i="35"/>
  <c r="J23" i="35"/>
  <c r="I23" i="35"/>
  <c r="H23" i="35"/>
  <c r="E23" i="35"/>
  <c r="H22" i="35"/>
  <c r="E22" i="35"/>
  <c r="J22" i="35" s="1"/>
  <c r="H21" i="35"/>
  <c r="E21" i="35"/>
  <c r="K21" i="35" s="1"/>
  <c r="K20" i="35"/>
  <c r="J20" i="35"/>
  <c r="I20" i="35"/>
  <c r="H20" i="35"/>
  <c r="E20" i="35"/>
  <c r="J19" i="35"/>
  <c r="I19" i="35"/>
  <c r="H19" i="35"/>
  <c r="E19" i="35"/>
  <c r="K19" i="35" s="1"/>
  <c r="K18" i="35"/>
  <c r="H18" i="35"/>
  <c r="E18" i="35"/>
  <c r="J18" i="35" s="1"/>
  <c r="K17" i="35"/>
  <c r="J17" i="35"/>
  <c r="I17" i="35"/>
  <c r="H17" i="35"/>
  <c r="E17" i="35"/>
  <c r="B17" i="35"/>
  <c r="J16" i="35"/>
  <c r="I16" i="35"/>
  <c r="H16" i="35"/>
  <c r="E16" i="35"/>
  <c r="K16" i="35" s="1"/>
  <c r="K15" i="35"/>
  <c r="H15" i="35"/>
  <c r="E15" i="35"/>
  <c r="J15" i="35" s="1"/>
  <c r="K14" i="35"/>
  <c r="J14" i="35"/>
  <c r="I14" i="35"/>
  <c r="H14" i="35"/>
  <c r="E14" i="35"/>
  <c r="H13" i="35"/>
  <c r="E13" i="35"/>
  <c r="K13" i="35" s="1"/>
  <c r="K12" i="35"/>
  <c r="J12" i="35"/>
  <c r="I12" i="35"/>
  <c r="H12" i="35"/>
  <c r="E12" i="35"/>
  <c r="H11" i="35"/>
  <c r="E11" i="35"/>
  <c r="J11" i="35" s="1"/>
  <c r="H10" i="35"/>
  <c r="E10" i="35"/>
  <c r="K10" i="35" s="1"/>
  <c r="K9" i="35"/>
  <c r="J9" i="35"/>
  <c r="I9" i="35"/>
  <c r="H9" i="35"/>
  <c r="E9" i="35"/>
  <c r="J8" i="35"/>
  <c r="I8" i="35"/>
  <c r="G8" i="35"/>
  <c r="G64" i="35" s="1"/>
  <c r="F8" i="35"/>
  <c r="H8" i="35" s="1"/>
  <c r="E8" i="35"/>
  <c r="K8" i="35" s="1"/>
  <c r="B8" i="35"/>
  <c r="F130" i="8" l="1"/>
  <c r="G130" i="8" s="1"/>
  <c r="F58" i="8"/>
  <c r="I46" i="35"/>
  <c r="E64" i="35"/>
  <c r="K64" i="35" s="1"/>
  <c r="J47" i="35"/>
  <c r="I47" i="35"/>
  <c r="I58" i="35"/>
  <c r="J58" i="35"/>
  <c r="I30" i="35"/>
  <c r="J30" i="35"/>
  <c r="H124" i="35"/>
  <c r="J124" i="35"/>
  <c r="I124" i="35"/>
  <c r="I85" i="35"/>
  <c r="K33" i="35"/>
  <c r="K41" i="35"/>
  <c r="K49" i="35"/>
  <c r="I88" i="35"/>
  <c r="K95" i="35"/>
  <c r="I98" i="35"/>
  <c r="K109" i="35"/>
  <c r="I112" i="35"/>
  <c r="H120" i="35"/>
  <c r="K121" i="35"/>
  <c r="I10" i="35"/>
  <c r="J13" i="35"/>
  <c r="I21" i="35"/>
  <c r="J24" i="35"/>
  <c r="J27" i="35"/>
  <c r="I32" i="35"/>
  <c r="J35" i="35"/>
  <c r="I40" i="35"/>
  <c r="J43" i="35"/>
  <c r="I48" i="35"/>
  <c r="J51" i="35"/>
  <c r="I56" i="35"/>
  <c r="J59" i="35"/>
  <c r="I74" i="35"/>
  <c r="J77" i="35"/>
  <c r="I84" i="35"/>
  <c r="J88" i="35"/>
  <c r="I94" i="35"/>
  <c r="J97" i="35"/>
  <c r="J98" i="35"/>
  <c r="I103" i="35"/>
  <c r="I107" i="35"/>
  <c r="I108" i="35"/>
  <c r="J112" i="35"/>
  <c r="I119" i="35"/>
  <c r="I120" i="35"/>
  <c r="I11" i="35"/>
  <c r="I41" i="35"/>
  <c r="K11" i="35"/>
  <c r="I13" i="35"/>
  <c r="K22" i="35"/>
  <c r="K75" i="35"/>
  <c r="K85" i="35"/>
  <c r="I97" i="35"/>
  <c r="J10" i="35"/>
  <c r="I15" i="35"/>
  <c r="I18" i="35"/>
  <c r="J21" i="35"/>
  <c r="K24" i="35"/>
  <c r="K27" i="35"/>
  <c r="I29" i="35"/>
  <c r="J32" i="35"/>
  <c r="K35" i="35"/>
  <c r="I37" i="35"/>
  <c r="J40" i="35"/>
  <c r="K43" i="35"/>
  <c r="I45" i="35"/>
  <c r="J48" i="35"/>
  <c r="K51" i="35"/>
  <c r="I53" i="35"/>
  <c r="J56" i="35"/>
  <c r="K59" i="35"/>
  <c r="I61" i="35"/>
  <c r="F64" i="35"/>
  <c r="H64" i="35" s="1"/>
  <c r="I71" i="35"/>
  <c r="J74" i="35"/>
  <c r="K77" i="35"/>
  <c r="I80" i="35"/>
  <c r="J84" i="35"/>
  <c r="H87" i="35"/>
  <c r="I90" i="35"/>
  <c r="J94" i="35"/>
  <c r="I100" i="35"/>
  <c r="J103" i="35"/>
  <c r="J107" i="35"/>
  <c r="J108" i="35"/>
  <c r="H111" i="35"/>
  <c r="I114" i="35"/>
  <c r="J119" i="35"/>
  <c r="J120" i="35"/>
  <c r="I33" i="35"/>
  <c r="I57" i="35"/>
  <c r="K25" i="35"/>
  <c r="K57" i="35"/>
  <c r="I87" i="35"/>
  <c r="I111" i="35"/>
  <c r="I123" i="35"/>
  <c r="I25" i="35"/>
  <c r="I49" i="35"/>
  <c r="I22" i="35"/>
  <c r="I75" i="35"/>
  <c r="F131" i="8" l="1"/>
  <c r="G58" i="8"/>
  <c r="F59" i="8"/>
  <c r="H130" i="8"/>
  <c r="G131" i="8"/>
  <c r="J64" i="35"/>
  <c r="I64" i="35"/>
  <c r="K55" i="26"/>
  <c r="J55" i="26"/>
  <c r="I55" i="26"/>
  <c r="H55" i="26"/>
  <c r="G55" i="26"/>
  <c r="F55" i="26"/>
  <c r="E55" i="26"/>
  <c r="D55" i="26"/>
  <c r="C55" i="26"/>
  <c r="B55" i="26"/>
  <c r="L53" i="26"/>
  <c r="E53" i="26"/>
  <c r="D53" i="26"/>
  <c r="B53" i="26"/>
  <c r="N51" i="26"/>
  <c r="L51" i="26"/>
  <c r="N49" i="26"/>
  <c r="F49" i="26"/>
  <c r="R49" i="26"/>
  <c r="R47" i="26"/>
  <c r="R46" i="26"/>
  <c r="R45" i="26"/>
  <c r="N45" i="26"/>
  <c r="L45" i="26"/>
  <c r="F45" i="26"/>
  <c r="D45" i="26"/>
  <c r="R44" i="26"/>
  <c r="R43" i="26"/>
  <c r="R42" i="26"/>
  <c r="R41" i="26"/>
  <c r="N41" i="26"/>
  <c r="L41" i="26"/>
  <c r="K41" i="26"/>
  <c r="J41" i="26"/>
  <c r="I41" i="26"/>
  <c r="H41" i="26"/>
  <c r="G41" i="26"/>
  <c r="F41" i="26"/>
  <c r="E41" i="26"/>
  <c r="D41" i="26"/>
  <c r="C41" i="26"/>
  <c r="B41" i="26"/>
  <c r="R40" i="26"/>
  <c r="R39" i="26"/>
  <c r="R38" i="26"/>
  <c r="R37" i="26"/>
  <c r="N34" i="26"/>
  <c r="N55" i="26" s="1"/>
  <c r="L34" i="26"/>
  <c r="L55" i="26" s="1"/>
  <c r="J28" i="26"/>
  <c r="H28" i="26"/>
  <c r="D28" i="26"/>
  <c r="B28" i="26"/>
  <c r="N26" i="26"/>
  <c r="N28" i="26" s="1"/>
  <c r="L26" i="26"/>
  <c r="I26" i="26"/>
  <c r="I28" i="26" s="1"/>
  <c r="H26" i="26"/>
  <c r="G26" i="26"/>
  <c r="F26" i="26"/>
  <c r="F28" i="26" s="1"/>
  <c r="D26" i="26"/>
  <c r="C26" i="26"/>
  <c r="C28" i="26" s="1"/>
  <c r="N24" i="26"/>
  <c r="L24" i="26"/>
  <c r="F24" i="26"/>
  <c r="N22" i="26"/>
  <c r="L22" i="26"/>
  <c r="D22" i="26"/>
  <c r="N18" i="26"/>
  <c r="L18" i="26"/>
  <c r="I18" i="26"/>
  <c r="H18" i="26"/>
  <c r="G18" i="26"/>
  <c r="F18" i="26"/>
  <c r="C18" i="26"/>
  <c r="R18" i="26"/>
  <c r="R16" i="26"/>
  <c r="R15" i="26"/>
  <c r="R14" i="26"/>
  <c r="N14" i="26"/>
  <c r="L14" i="26"/>
  <c r="K14" i="26"/>
  <c r="K28" i="26" s="1"/>
  <c r="J14" i="26"/>
  <c r="I14" i="26"/>
  <c r="H14" i="26"/>
  <c r="G14" i="26"/>
  <c r="F14" i="26"/>
  <c r="E14" i="26"/>
  <c r="E28" i="26" s="1"/>
  <c r="D14" i="26"/>
  <c r="C14" i="26"/>
  <c r="B14" i="26"/>
  <c r="R13" i="26"/>
  <c r="R12" i="26"/>
  <c r="R11" i="26"/>
  <c r="R8" i="26"/>
  <c r="R10" i="26"/>
  <c r="R9" i="26"/>
  <c r="R7" i="26"/>
  <c r="R6" i="26"/>
  <c r="L6" i="26"/>
  <c r="H6" i="26"/>
  <c r="G6" i="26"/>
  <c r="F6" i="26"/>
  <c r="C6" i="26"/>
  <c r="B6" i="26"/>
  <c r="L85" i="25"/>
  <c r="K85" i="25"/>
  <c r="J85" i="25"/>
  <c r="I85" i="25"/>
  <c r="H85" i="25"/>
  <c r="G85" i="25"/>
  <c r="F85" i="25"/>
  <c r="E85" i="25"/>
  <c r="D85" i="25"/>
  <c r="C85" i="25"/>
  <c r="B85" i="25"/>
  <c r="N83" i="25"/>
  <c r="L83" i="25"/>
  <c r="N81" i="25"/>
  <c r="L81" i="25"/>
  <c r="N79" i="25"/>
  <c r="L79" i="25"/>
  <c r="G79" i="25"/>
  <c r="E79" i="25"/>
  <c r="N74" i="25"/>
  <c r="L74" i="25"/>
  <c r="J74" i="25"/>
  <c r="I74" i="25"/>
  <c r="H74" i="25"/>
  <c r="F74" i="25"/>
  <c r="E74" i="25"/>
  <c r="D74" i="25"/>
  <c r="C74" i="25"/>
  <c r="B74" i="25"/>
  <c r="N71" i="25"/>
  <c r="K71" i="25"/>
  <c r="G71" i="25"/>
  <c r="B71" i="25"/>
  <c r="R69" i="25"/>
  <c r="R67" i="25"/>
  <c r="N67" i="25"/>
  <c r="L67" i="25"/>
  <c r="R66" i="25"/>
  <c r="R65" i="25"/>
  <c r="R64" i="25"/>
  <c r="R63" i="25"/>
  <c r="N63" i="25"/>
  <c r="L63" i="25"/>
  <c r="G63" i="25"/>
  <c r="B63" i="25"/>
  <c r="R62" i="25"/>
  <c r="R61" i="25"/>
  <c r="R60" i="25"/>
  <c r="R59" i="25"/>
  <c r="N59" i="25"/>
  <c r="L59" i="25"/>
  <c r="C59" i="25"/>
  <c r="B59" i="25"/>
  <c r="R58" i="25"/>
  <c r="R57" i="25"/>
  <c r="K57" i="25"/>
  <c r="I51" i="25"/>
  <c r="E51" i="25"/>
  <c r="N47" i="25"/>
  <c r="L47" i="25"/>
  <c r="N45" i="25"/>
  <c r="L45" i="25"/>
  <c r="F45" i="25"/>
  <c r="N43" i="25"/>
  <c r="L43" i="25"/>
  <c r="H43" i="25"/>
  <c r="N38" i="25"/>
  <c r="L38" i="25"/>
  <c r="N35" i="25"/>
  <c r="L35" i="25"/>
  <c r="D35" i="25"/>
  <c r="N51" i="25"/>
  <c r="L30" i="25"/>
  <c r="L51" i="25" s="1"/>
  <c r="I30" i="25"/>
  <c r="H30" i="25"/>
  <c r="H51" i="25" s="1"/>
  <c r="G30" i="25"/>
  <c r="G51" i="25" s="1"/>
  <c r="F30" i="25"/>
  <c r="F51" i="25" s="1"/>
  <c r="E30" i="25"/>
  <c r="D30" i="25"/>
  <c r="D51" i="25" s="1"/>
  <c r="C30" i="25"/>
  <c r="C51" i="25" s="1"/>
  <c r="B30" i="25"/>
  <c r="N28" i="25"/>
  <c r="L28" i="25"/>
  <c r="B28" i="25"/>
  <c r="N23" i="25"/>
  <c r="L23" i="25"/>
  <c r="D23" i="25"/>
  <c r="C23" i="25"/>
  <c r="R23" i="25"/>
  <c r="R21" i="25"/>
  <c r="R20" i="25"/>
  <c r="R19" i="25"/>
  <c r="N19" i="25"/>
  <c r="L19" i="25"/>
  <c r="R18" i="25"/>
  <c r="R17" i="25"/>
  <c r="R16" i="25"/>
  <c r="R15" i="25"/>
  <c r="N15" i="25"/>
  <c r="L15" i="25"/>
  <c r="K15" i="25"/>
  <c r="K51" i="25" s="1"/>
  <c r="G15" i="25"/>
  <c r="F15" i="25"/>
  <c r="D15" i="25"/>
  <c r="C15" i="25"/>
  <c r="B15" i="25"/>
  <c r="R14" i="25"/>
  <c r="R13" i="25"/>
  <c r="N13" i="25"/>
  <c r="L13" i="25"/>
  <c r="R12" i="25"/>
  <c r="R11" i="25"/>
  <c r="N9" i="25"/>
  <c r="L9" i="25"/>
  <c r="J9" i="25"/>
  <c r="J51" i="25" s="1"/>
  <c r="D9" i="25"/>
  <c r="C9" i="25"/>
  <c r="B9" i="25"/>
  <c r="L6" i="25"/>
  <c r="F6" i="25"/>
  <c r="L95" i="24"/>
  <c r="K95" i="24"/>
  <c r="J95" i="24"/>
  <c r="I95" i="24"/>
  <c r="H95" i="24"/>
  <c r="G95" i="24"/>
  <c r="F95" i="24"/>
  <c r="E95" i="24"/>
  <c r="D95" i="24"/>
  <c r="C95" i="24"/>
  <c r="R78" i="24"/>
  <c r="R76" i="24"/>
  <c r="R75" i="24"/>
  <c r="R74" i="24"/>
  <c r="R73" i="24"/>
  <c r="R72" i="24"/>
  <c r="R71" i="24"/>
  <c r="L71" i="24"/>
  <c r="K71" i="24"/>
  <c r="J71" i="24"/>
  <c r="I71" i="24"/>
  <c r="H71" i="24"/>
  <c r="G71" i="24"/>
  <c r="F71" i="24"/>
  <c r="E71" i="24"/>
  <c r="D71" i="24"/>
  <c r="C71" i="24"/>
  <c r="R70" i="24"/>
  <c r="R69" i="24"/>
  <c r="R68" i="24"/>
  <c r="R67" i="24"/>
  <c r="R66" i="24"/>
  <c r="L39" i="24"/>
  <c r="K39" i="24"/>
  <c r="J39" i="24"/>
  <c r="I39" i="24"/>
  <c r="H39" i="24"/>
  <c r="G39" i="24"/>
  <c r="F39" i="24"/>
  <c r="E39" i="24"/>
  <c r="D39" i="24"/>
  <c r="C39" i="24"/>
  <c r="B39" i="24"/>
  <c r="R22" i="24"/>
  <c r="R20" i="24"/>
  <c r="R19" i="24"/>
  <c r="R18" i="24"/>
  <c r="R17" i="24"/>
  <c r="R15" i="24"/>
  <c r="R14" i="24"/>
  <c r="L15" i="24"/>
  <c r="K15" i="24"/>
  <c r="J15" i="24"/>
  <c r="I15" i="24"/>
  <c r="H15" i="24"/>
  <c r="G15" i="24"/>
  <c r="F15" i="24"/>
  <c r="E15" i="24"/>
  <c r="D15" i="24"/>
  <c r="C15" i="24"/>
  <c r="B15" i="24"/>
  <c r="R16" i="24"/>
  <c r="R13" i="24"/>
  <c r="R12" i="24"/>
  <c r="R11" i="24"/>
  <c r="R10" i="24"/>
  <c r="L97" i="23"/>
  <c r="K97" i="23"/>
  <c r="J97" i="23"/>
  <c r="I97" i="23"/>
  <c r="H97" i="23"/>
  <c r="G97" i="23"/>
  <c r="F97" i="23"/>
  <c r="E97" i="23"/>
  <c r="D97" i="23"/>
  <c r="C97" i="23"/>
  <c r="B97" i="23"/>
  <c r="S79" i="23"/>
  <c r="S77" i="23"/>
  <c r="S76" i="23"/>
  <c r="S75" i="23"/>
  <c r="S74" i="23"/>
  <c r="L74" i="23"/>
  <c r="K74" i="23"/>
  <c r="J74" i="23"/>
  <c r="I74" i="23"/>
  <c r="H74" i="23"/>
  <c r="G74" i="23"/>
  <c r="F74" i="23"/>
  <c r="E74" i="23"/>
  <c r="D74" i="23"/>
  <c r="C74" i="23"/>
  <c r="B74" i="23"/>
  <c r="S73" i="23"/>
  <c r="S72" i="23"/>
  <c r="S71" i="23"/>
  <c r="S70" i="23"/>
  <c r="S69" i="23"/>
  <c r="S68" i="23"/>
  <c r="S67" i="23"/>
  <c r="L39" i="23"/>
  <c r="K39" i="23"/>
  <c r="J39" i="23"/>
  <c r="I39" i="23"/>
  <c r="H39" i="23"/>
  <c r="G39" i="23"/>
  <c r="E39" i="23"/>
  <c r="D39" i="23"/>
  <c r="C39" i="23"/>
  <c r="B39" i="23"/>
  <c r="S20" i="23"/>
  <c r="S18" i="23"/>
  <c r="L15" i="23"/>
  <c r="K15" i="23"/>
  <c r="J15" i="23"/>
  <c r="I15" i="23"/>
  <c r="H15" i="23"/>
  <c r="G15" i="23"/>
  <c r="E15" i="23"/>
  <c r="D15" i="23"/>
  <c r="C15" i="23"/>
  <c r="B15" i="23"/>
  <c r="S14" i="23"/>
  <c r="S13" i="23"/>
  <c r="S12" i="23"/>
  <c r="S11" i="23"/>
  <c r="S10" i="23"/>
  <c r="S9" i="23"/>
  <c r="AG42" i="22"/>
  <c r="AF42" i="22"/>
  <c r="AE42" i="22"/>
  <c r="AD42" i="22"/>
  <c r="AC42" i="22"/>
  <c r="Z42" i="22"/>
  <c r="W42" i="22"/>
  <c r="J42" i="22"/>
  <c r="AG41" i="22"/>
  <c r="AF41" i="22"/>
  <c r="AE41" i="22"/>
  <c r="AD41" i="22"/>
  <c r="AC41" i="22"/>
  <c r="Z41" i="22"/>
  <c r="W41" i="22"/>
  <c r="J41" i="22"/>
  <c r="AG40" i="22"/>
  <c r="AF40" i="22"/>
  <c r="AE40" i="22"/>
  <c r="AD40" i="22"/>
  <c r="AC40" i="22"/>
  <c r="Z40" i="22"/>
  <c r="W40" i="22"/>
  <c r="J40" i="22"/>
  <c r="AG39" i="22"/>
  <c r="AF39" i="22"/>
  <c r="AE39" i="22"/>
  <c r="AD39" i="22"/>
  <c r="AC39" i="22"/>
  <c r="Z39" i="22"/>
  <c r="W39" i="22"/>
  <c r="J39" i="22"/>
  <c r="AG38" i="22"/>
  <c r="AF38" i="22"/>
  <c r="AE38" i="22"/>
  <c r="AD38" i="22"/>
  <c r="AC38" i="22"/>
  <c r="Z38" i="22"/>
  <c r="W38" i="22"/>
  <c r="J38" i="22"/>
  <c r="AG37" i="22"/>
  <c r="AF37" i="22"/>
  <c r="AE37" i="22"/>
  <c r="AD37" i="22"/>
  <c r="AC37" i="22"/>
  <c r="Z37" i="22"/>
  <c r="W37" i="22"/>
  <c r="J37" i="22"/>
  <c r="AG36" i="22"/>
  <c r="AF36" i="22"/>
  <c r="AE36" i="22"/>
  <c r="AD36" i="22"/>
  <c r="AC36" i="22"/>
  <c r="Z36" i="22"/>
  <c r="W36" i="22"/>
  <c r="J36" i="22"/>
  <c r="AG35" i="22"/>
  <c r="AF35" i="22"/>
  <c r="AE35" i="22"/>
  <c r="AD35" i="22"/>
  <c r="AC35" i="22"/>
  <c r="Z35" i="22"/>
  <c r="W35" i="22"/>
  <c r="J35" i="22"/>
  <c r="AG34" i="22"/>
  <c r="AF34" i="22"/>
  <c r="AE34" i="22"/>
  <c r="AD34" i="22"/>
  <c r="AC34" i="22"/>
  <c r="Z34" i="22"/>
  <c r="W34" i="22"/>
  <c r="J34" i="22"/>
  <c r="AG33" i="22"/>
  <c r="AF33" i="22"/>
  <c r="AE33" i="22"/>
  <c r="AD33" i="22"/>
  <c r="AC33" i="22"/>
  <c r="Z33" i="22"/>
  <c r="W33" i="22"/>
  <c r="J33" i="22"/>
  <c r="AG32" i="22"/>
  <c r="AF32" i="22"/>
  <c r="AE32" i="22"/>
  <c r="AD32" i="22"/>
  <c r="AC32" i="22"/>
  <c r="Z32" i="22"/>
  <c r="W32" i="22"/>
  <c r="J32" i="22"/>
  <c r="AG31" i="22"/>
  <c r="AF31" i="22"/>
  <c r="AE31" i="22"/>
  <c r="AD31" i="22"/>
  <c r="AC31" i="22"/>
  <c r="Z31" i="22"/>
  <c r="W31" i="22"/>
  <c r="J31" i="22"/>
  <c r="AG30" i="22"/>
  <c r="AF30" i="22"/>
  <c r="AE30" i="22"/>
  <c r="AD30" i="22"/>
  <c r="AC30" i="22"/>
  <c r="Z30" i="22"/>
  <c r="W30" i="22"/>
  <c r="J30" i="22"/>
  <c r="AG29" i="22"/>
  <c r="AF29" i="22"/>
  <c r="AE29" i="22"/>
  <c r="AD29" i="22"/>
  <c r="AC29" i="22"/>
  <c r="Z29" i="22"/>
  <c r="W29" i="22"/>
  <c r="J29" i="22"/>
  <c r="AG28" i="22"/>
  <c r="AF28" i="22"/>
  <c r="AE28" i="22"/>
  <c r="AD28" i="22"/>
  <c r="AC28" i="22"/>
  <c r="Z28" i="22"/>
  <c r="W28" i="22"/>
  <c r="J28" i="22"/>
  <c r="AG27" i="22"/>
  <c r="AF27" i="22"/>
  <c r="AE27" i="22"/>
  <c r="AD27" i="22"/>
  <c r="AC27" i="22"/>
  <c r="Z27" i="22"/>
  <c r="W27" i="22"/>
  <c r="J27" i="22"/>
  <c r="AG26" i="22"/>
  <c r="AF26" i="22"/>
  <c r="AE26" i="22"/>
  <c r="AD26" i="22"/>
  <c r="AC26" i="22"/>
  <c r="Z26" i="22"/>
  <c r="W26" i="22"/>
  <c r="J26" i="22"/>
  <c r="AG21" i="22"/>
  <c r="AF21" i="22"/>
  <c r="AE21" i="22"/>
  <c r="AD21" i="22"/>
  <c r="AC21" i="22"/>
  <c r="Z21" i="22"/>
  <c r="W21" i="22"/>
  <c r="J21" i="22"/>
  <c r="AG20" i="22"/>
  <c r="AF20" i="22"/>
  <c r="AE20" i="22"/>
  <c r="AD20" i="22"/>
  <c r="AC20" i="22"/>
  <c r="Z20" i="22"/>
  <c r="W20" i="22"/>
  <c r="J20" i="22"/>
  <c r="AG19" i="22"/>
  <c r="AF19" i="22"/>
  <c r="AE19" i="22"/>
  <c r="AD19" i="22"/>
  <c r="AC19" i="22"/>
  <c r="Z19" i="22"/>
  <c r="W19" i="22"/>
  <c r="J19" i="22"/>
  <c r="AG18" i="22"/>
  <c r="AF18" i="22"/>
  <c r="AE18" i="22"/>
  <c r="AD18" i="22"/>
  <c r="AC18" i="22"/>
  <c r="Z18" i="22"/>
  <c r="W18" i="22"/>
  <c r="J18" i="22"/>
  <c r="AG17" i="22"/>
  <c r="AF17" i="22"/>
  <c r="AE17" i="22"/>
  <c r="AD17" i="22"/>
  <c r="AC17" i="22"/>
  <c r="Z17" i="22"/>
  <c r="W17" i="22"/>
  <c r="J17" i="22"/>
  <c r="AG16" i="22"/>
  <c r="AF16" i="22"/>
  <c r="AE16" i="22"/>
  <c r="AD16" i="22"/>
  <c r="AC16" i="22"/>
  <c r="Z16" i="22"/>
  <c r="W16" i="22"/>
  <c r="J16" i="22"/>
  <c r="AG15" i="22"/>
  <c r="AF15" i="22"/>
  <c r="AE15" i="22"/>
  <c r="AD15" i="22"/>
  <c r="AC15" i="22"/>
  <c r="Z15" i="22"/>
  <c r="W15" i="22"/>
  <c r="J15" i="22"/>
  <c r="AG14" i="22"/>
  <c r="AF14" i="22"/>
  <c r="AE14" i="22"/>
  <c r="AD14" i="22"/>
  <c r="AC14" i="22"/>
  <c r="Z14" i="22"/>
  <c r="W14" i="22"/>
  <c r="J14" i="22"/>
  <c r="AG13" i="22"/>
  <c r="AF13" i="22"/>
  <c r="AE13" i="22"/>
  <c r="AD13" i="22"/>
  <c r="AC13" i="22"/>
  <c r="Z13" i="22"/>
  <c r="W13" i="22"/>
  <c r="J13" i="22"/>
  <c r="AG12" i="22"/>
  <c r="AF12" i="22"/>
  <c r="AE12" i="22"/>
  <c r="AD12" i="22"/>
  <c r="AC12" i="22"/>
  <c r="Z12" i="22"/>
  <c r="W12" i="22"/>
  <c r="J12" i="22"/>
  <c r="AG11" i="22"/>
  <c r="AF11" i="22"/>
  <c r="AE11" i="22"/>
  <c r="AD11" i="22"/>
  <c r="AC11" i="22"/>
  <c r="Z11" i="22"/>
  <c r="W11" i="22"/>
  <c r="J11" i="22"/>
  <c r="AG10" i="22"/>
  <c r="AF10" i="22"/>
  <c r="AE10" i="22"/>
  <c r="AD10" i="22"/>
  <c r="AC10" i="22"/>
  <c r="Z10" i="22"/>
  <c r="W10" i="22"/>
  <c r="J10" i="22"/>
  <c r="AG9" i="22"/>
  <c r="AF9" i="22"/>
  <c r="AE9" i="22"/>
  <c r="AD9" i="22"/>
  <c r="AC9" i="22"/>
  <c r="Z9" i="22"/>
  <c r="W9" i="22"/>
  <c r="J9" i="22"/>
  <c r="AG8" i="22"/>
  <c r="AF8" i="22"/>
  <c r="AE8" i="22"/>
  <c r="AD8" i="22"/>
  <c r="AC8" i="22"/>
  <c r="Z8" i="22"/>
  <c r="W8" i="22"/>
  <c r="J8" i="22"/>
  <c r="AG7" i="22"/>
  <c r="AF7" i="22"/>
  <c r="AE7" i="22"/>
  <c r="AD7" i="22"/>
  <c r="AC7" i="22"/>
  <c r="Z7" i="22"/>
  <c r="W7" i="22"/>
  <c r="J7" i="22"/>
  <c r="AG6" i="22"/>
  <c r="AF6" i="22"/>
  <c r="AE6" i="22"/>
  <c r="AD6" i="22"/>
  <c r="AC6" i="22"/>
  <c r="Z6" i="22"/>
  <c r="W6" i="22"/>
  <c r="J6" i="22"/>
  <c r="AG5" i="22"/>
  <c r="AF5" i="22"/>
  <c r="AE5" i="22"/>
  <c r="AD5" i="22"/>
  <c r="AC5" i="22"/>
  <c r="Z5" i="22"/>
  <c r="W5" i="22"/>
  <c r="J5" i="22"/>
  <c r="AG42" i="21"/>
  <c r="AF42" i="21"/>
  <c r="AE42" i="21"/>
  <c r="AD42" i="21"/>
  <c r="AC42" i="21"/>
  <c r="Z42" i="21"/>
  <c r="W42" i="21"/>
  <c r="J42" i="21"/>
  <c r="AG41" i="21"/>
  <c r="AF41" i="21"/>
  <c r="AE41" i="21"/>
  <c r="AD41" i="21"/>
  <c r="AC41" i="21"/>
  <c r="Z41" i="21"/>
  <c r="W41" i="21"/>
  <c r="J41" i="21"/>
  <c r="AG40" i="21"/>
  <c r="AF40" i="21"/>
  <c r="AE40" i="21"/>
  <c r="AD40" i="21"/>
  <c r="AC40" i="21"/>
  <c r="Z40" i="21"/>
  <c r="W40" i="21"/>
  <c r="J40" i="21"/>
  <c r="AG39" i="21"/>
  <c r="AF39" i="21"/>
  <c r="AE39" i="21"/>
  <c r="AD39" i="21"/>
  <c r="AC39" i="21"/>
  <c r="Z39" i="21"/>
  <c r="W39" i="21"/>
  <c r="J39" i="21"/>
  <c r="AG38" i="21"/>
  <c r="AF38" i="21"/>
  <c r="AE38" i="21"/>
  <c r="AD38" i="21"/>
  <c r="AC38" i="21"/>
  <c r="Z38" i="21"/>
  <c r="W38" i="21"/>
  <c r="J38" i="21"/>
  <c r="AG37" i="21"/>
  <c r="AF37" i="21"/>
  <c r="AE37" i="21"/>
  <c r="AD37" i="21"/>
  <c r="AC37" i="21"/>
  <c r="Z37" i="21"/>
  <c r="W37" i="21"/>
  <c r="J37" i="21"/>
  <c r="AG36" i="21"/>
  <c r="AF36" i="21"/>
  <c r="AE36" i="21"/>
  <c r="AD36" i="21"/>
  <c r="AC36" i="21"/>
  <c r="Z36" i="21"/>
  <c r="W36" i="21"/>
  <c r="J36" i="21"/>
  <c r="AG35" i="21"/>
  <c r="AF35" i="21"/>
  <c r="AE35" i="21"/>
  <c r="AD35" i="21"/>
  <c r="AC35" i="21"/>
  <c r="Z35" i="21"/>
  <c r="W35" i="21"/>
  <c r="J35" i="21"/>
  <c r="AG34" i="21"/>
  <c r="AF34" i="21"/>
  <c r="AE34" i="21"/>
  <c r="AD34" i="21"/>
  <c r="AC34" i="21"/>
  <c r="Z34" i="21"/>
  <c r="W34" i="21"/>
  <c r="J34" i="21"/>
  <c r="AG33" i="21"/>
  <c r="AF33" i="21"/>
  <c r="AE33" i="21"/>
  <c r="AD33" i="21"/>
  <c r="AC33" i="21"/>
  <c r="Z33" i="21"/>
  <c r="W33" i="21"/>
  <c r="J33" i="21"/>
  <c r="AG32" i="21"/>
  <c r="AF32" i="21"/>
  <c r="AE32" i="21"/>
  <c r="AD32" i="21"/>
  <c r="AC32" i="21"/>
  <c r="Z32" i="21"/>
  <c r="W32" i="21"/>
  <c r="J32" i="21"/>
  <c r="AG31" i="21"/>
  <c r="AF31" i="21"/>
  <c r="AE31" i="21"/>
  <c r="AD31" i="21"/>
  <c r="AC31" i="21"/>
  <c r="Z31" i="21"/>
  <c r="W31" i="21"/>
  <c r="J31" i="21"/>
  <c r="AG30" i="21"/>
  <c r="AF30" i="21"/>
  <c r="AE30" i="21"/>
  <c r="AD30" i="21"/>
  <c r="AC30" i="21"/>
  <c r="Z30" i="21"/>
  <c r="W30" i="21"/>
  <c r="J30" i="21"/>
  <c r="AG29" i="21"/>
  <c r="AF29" i="21"/>
  <c r="AE29" i="21"/>
  <c r="AD29" i="21"/>
  <c r="AC29" i="21"/>
  <c r="Z29" i="21"/>
  <c r="W29" i="21"/>
  <c r="J29" i="21"/>
  <c r="AG28" i="21"/>
  <c r="AF28" i="21"/>
  <c r="AE28" i="21"/>
  <c r="AD28" i="21"/>
  <c r="AC28" i="21"/>
  <c r="Z28" i="21"/>
  <c r="W28" i="21"/>
  <c r="J28" i="21"/>
  <c r="AG27" i="21"/>
  <c r="AF27" i="21"/>
  <c r="AE27" i="21"/>
  <c r="AD27" i="21"/>
  <c r="AC27" i="21"/>
  <c r="Z27" i="21"/>
  <c r="W27" i="21"/>
  <c r="J27" i="21"/>
  <c r="AG26" i="21"/>
  <c r="AF26" i="21"/>
  <c r="AE26" i="21"/>
  <c r="AD26" i="21"/>
  <c r="AC26" i="21"/>
  <c r="Z26" i="21"/>
  <c r="W26" i="21"/>
  <c r="J26" i="21"/>
  <c r="AG21" i="21"/>
  <c r="AF21" i="21"/>
  <c r="AE21" i="21"/>
  <c r="AD21" i="21"/>
  <c r="AC21" i="21"/>
  <c r="Z21" i="21"/>
  <c r="W21" i="21"/>
  <c r="J21" i="21"/>
  <c r="AG20" i="21"/>
  <c r="AF20" i="21"/>
  <c r="AE20" i="21"/>
  <c r="AD20" i="21"/>
  <c r="AC20" i="21"/>
  <c r="Z20" i="21"/>
  <c r="W20" i="21"/>
  <c r="J20" i="21"/>
  <c r="AG19" i="21"/>
  <c r="AF19" i="21"/>
  <c r="AE19" i="21"/>
  <c r="AD19" i="21"/>
  <c r="AC19" i="21"/>
  <c r="Z19" i="21"/>
  <c r="W19" i="21"/>
  <c r="J19" i="21"/>
  <c r="AG18" i="21"/>
  <c r="AF18" i="21"/>
  <c r="AE18" i="21"/>
  <c r="AD18" i="21"/>
  <c r="AC18" i="21"/>
  <c r="Z18" i="21"/>
  <c r="W18" i="21"/>
  <c r="J18" i="21"/>
  <c r="AG17" i="21"/>
  <c r="AF17" i="21"/>
  <c r="AE17" i="21"/>
  <c r="AD17" i="21"/>
  <c r="AC17" i="21"/>
  <c r="Z17" i="21"/>
  <c r="W17" i="21"/>
  <c r="J17" i="21"/>
  <c r="AG16" i="21"/>
  <c r="AF16" i="21"/>
  <c r="AE16" i="21"/>
  <c r="AD16" i="21"/>
  <c r="AC16" i="21"/>
  <c r="Z16" i="21"/>
  <c r="W16" i="21"/>
  <c r="J16" i="21"/>
  <c r="AG15" i="21"/>
  <c r="AF15" i="21"/>
  <c r="AE15" i="21"/>
  <c r="AD15" i="21"/>
  <c r="AC15" i="21"/>
  <c r="Z15" i="21"/>
  <c r="W15" i="21"/>
  <c r="J15" i="21"/>
  <c r="AG14" i="21"/>
  <c r="AF14" i="21"/>
  <c r="AE14" i="21"/>
  <c r="AD14" i="21"/>
  <c r="AC14" i="21"/>
  <c r="Z14" i="21"/>
  <c r="W14" i="21"/>
  <c r="J14" i="21"/>
  <c r="AG13" i="21"/>
  <c r="AF13" i="21"/>
  <c r="AE13" i="21"/>
  <c r="AD13" i="21"/>
  <c r="AC13" i="21"/>
  <c r="Z13" i="21"/>
  <c r="W13" i="21"/>
  <c r="J13" i="21"/>
  <c r="AG12" i="21"/>
  <c r="AF12" i="21"/>
  <c r="AE12" i="21"/>
  <c r="AD12" i="21"/>
  <c r="AC12" i="21"/>
  <c r="Z12" i="21"/>
  <c r="W12" i="21"/>
  <c r="J12" i="21"/>
  <c r="AG11" i="21"/>
  <c r="AF11" i="21"/>
  <c r="AE11" i="21"/>
  <c r="AD11" i="21"/>
  <c r="AC11" i="21"/>
  <c r="Z11" i="21"/>
  <c r="W11" i="21"/>
  <c r="J11" i="21"/>
  <c r="AG10" i="21"/>
  <c r="AF10" i="21"/>
  <c r="AE10" i="21"/>
  <c r="AD10" i="21"/>
  <c r="AC10" i="21"/>
  <c r="Z10" i="21"/>
  <c r="W10" i="21"/>
  <c r="J10" i="21"/>
  <c r="AG9" i="21"/>
  <c r="AF9" i="21"/>
  <c r="AE9" i="21"/>
  <c r="AD9" i="21"/>
  <c r="AC9" i="21"/>
  <c r="Z9" i="21"/>
  <c r="W9" i="21"/>
  <c r="J9" i="21"/>
  <c r="AG8" i="21"/>
  <c r="AF8" i="21"/>
  <c r="AE8" i="21"/>
  <c r="AD8" i="21"/>
  <c r="AC8" i="21"/>
  <c r="Z8" i="21"/>
  <c r="W8" i="21"/>
  <c r="J8" i="21"/>
  <c r="AG7" i="21"/>
  <c r="AF7" i="21"/>
  <c r="AE7" i="21"/>
  <c r="AD7" i="21"/>
  <c r="AC7" i="21"/>
  <c r="Z7" i="21"/>
  <c r="W7" i="21"/>
  <c r="J7" i="21"/>
  <c r="AG6" i="21"/>
  <c r="AF6" i="21"/>
  <c r="AE6" i="21"/>
  <c r="AD6" i="21"/>
  <c r="AC6" i="21"/>
  <c r="Z6" i="21"/>
  <c r="W6" i="21"/>
  <c r="J6" i="21"/>
  <c r="AG5" i="21"/>
  <c r="AF5" i="21"/>
  <c r="AE5" i="21"/>
  <c r="AD5" i="21"/>
  <c r="AC5" i="21"/>
  <c r="Z5" i="21"/>
  <c r="W5" i="21"/>
  <c r="J5" i="21"/>
  <c r="AG42" i="19"/>
  <c r="AF42" i="19"/>
  <c r="AE42" i="19"/>
  <c r="AD42" i="19"/>
  <c r="AC42" i="19"/>
  <c r="Z42" i="19"/>
  <c r="W42" i="19"/>
  <c r="J42" i="19"/>
  <c r="AG41" i="19"/>
  <c r="AF41" i="19"/>
  <c r="AE41" i="19"/>
  <c r="AD41" i="19"/>
  <c r="AC41" i="19"/>
  <c r="Z41" i="19"/>
  <c r="W41" i="19"/>
  <c r="J41" i="19"/>
  <c r="AG40" i="19"/>
  <c r="AF40" i="19"/>
  <c r="AE40" i="19"/>
  <c r="AD40" i="19"/>
  <c r="AC40" i="19"/>
  <c r="Z40" i="19"/>
  <c r="W40" i="19"/>
  <c r="J40" i="19"/>
  <c r="AG39" i="19"/>
  <c r="AF39" i="19"/>
  <c r="AE39" i="19"/>
  <c r="AD39" i="19"/>
  <c r="AC39" i="19"/>
  <c r="Z39" i="19"/>
  <c r="W39" i="19"/>
  <c r="J39" i="19"/>
  <c r="AG38" i="19"/>
  <c r="AF38" i="19"/>
  <c r="AE38" i="19"/>
  <c r="AD38" i="19"/>
  <c r="AC38" i="19"/>
  <c r="Z38" i="19"/>
  <c r="W38" i="19"/>
  <c r="J38" i="19"/>
  <c r="AG37" i="19"/>
  <c r="AF37" i="19"/>
  <c r="AE37" i="19"/>
  <c r="AD37" i="19"/>
  <c r="AC37" i="19"/>
  <c r="Z37" i="19"/>
  <c r="W37" i="19"/>
  <c r="J37" i="19"/>
  <c r="AG36" i="19"/>
  <c r="AF36" i="19"/>
  <c r="AE36" i="19"/>
  <c r="AD36" i="19"/>
  <c r="AC36" i="19"/>
  <c r="Z36" i="19"/>
  <c r="W36" i="19"/>
  <c r="J36" i="19"/>
  <c r="AG35" i="19"/>
  <c r="AF35" i="19"/>
  <c r="AE35" i="19"/>
  <c r="AD35" i="19"/>
  <c r="AC35" i="19"/>
  <c r="Z35" i="19"/>
  <c r="W35" i="19"/>
  <c r="J35" i="19"/>
  <c r="AG34" i="19"/>
  <c r="AF34" i="19"/>
  <c r="AE34" i="19"/>
  <c r="AD34" i="19"/>
  <c r="AC34" i="19"/>
  <c r="Z34" i="19"/>
  <c r="W34" i="19"/>
  <c r="J34" i="19"/>
  <c r="AG33" i="19"/>
  <c r="AF33" i="19"/>
  <c r="AE33" i="19"/>
  <c r="AD33" i="19"/>
  <c r="AC33" i="19"/>
  <c r="Z33" i="19"/>
  <c r="W33" i="19"/>
  <c r="J33" i="19"/>
  <c r="AG32" i="19"/>
  <c r="AF32" i="19"/>
  <c r="AE32" i="19"/>
  <c r="AD32" i="19"/>
  <c r="AC32" i="19"/>
  <c r="Z32" i="19"/>
  <c r="W32" i="19"/>
  <c r="J32" i="19"/>
  <c r="AG31" i="19"/>
  <c r="AF31" i="19"/>
  <c r="AE31" i="19"/>
  <c r="AD31" i="19"/>
  <c r="AC31" i="19"/>
  <c r="Z31" i="19"/>
  <c r="W31" i="19"/>
  <c r="J31" i="19"/>
  <c r="AG30" i="19"/>
  <c r="AF30" i="19"/>
  <c r="AE30" i="19"/>
  <c r="AD30" i="19"/>
  <c r="AC30" i="19"/>
  <c r="Z30" i="19"/>
  <c r="W30" i="19"/>
  <c r="J30" i="19"/>
  <c r="AG29" i="19"/>
  <c r="AF29" i="19"/>
  <c r="AE29" i="19"/>
  <c r="AD29" i="19"/>
  <c r="AC29" i="19"/>
  <c r="Z29" i="19"/>
  <c r="W29" i="19"/>
  <c r="J29" i="19"/>
  <c r="AG28" i="19"/>
  <c r="AF28" i="19"/>
  <c r="AE28" i="19"/>
  <c r="AD28" i="19"/>
  <c r="AC28" i="19"/>
  <c r="Z28" i="19"/>
  <c r="W28" i="19"/>
  <c r="J28" i="19"/>
  <c r="AG27" i="19"/>
  <c r="AF27" i="19"/>
  <c r="AE27" i="19"/>
  <c r="AD27" i="19"/>
  <c r="AC27" i="19"/>
  <c r="Z27" i="19"/>
  <c r="W27" i="19"/>
  <c r="J27" i="19"/>
  <c r="AG26" i="19"/>
  <c r="AF26" i="19"/>
  <c r="AE26" i="19"/>
  <c r="AD26" i="19"/>
  <c r="AC26" i="19"/>
  <c r="Z26" i="19"/>
  <c r="W26" i="19"/>
  <c r="J26" i="19"/>
  <c r="AG21" i="19"/>
  <c r="AF21" i="19"/>
  <c r="AE21" i="19"/>
  <c r="AD21" i="19"/>
  <c r="AC21" i="19"/>
  <c r="Z21" i="19"/>
  <c r="W21" i="19"/>
  <c r="J21" i="19"/>
  <c r="AG20" i="19"/>
  <c r="AF20" i="19"/>
  <c r="AE20" i="19"/>
  <c r="AD20" i="19"/>
  <c r="AC20" i="19"/>
  <c r="Z20" i="19"/>
  <c r="W20" i="19"/>
  <c r="J20" i="19"/>
  <c r="AG19" i="19"/>
  <c r="AF19" i="19"/>
  <c r="AE19" i="19"/>
  <c r="AD19" i="19"/>
  <c r="AC19" i="19"/>
  <c r="Z19" i="19"/>
  <c r="W19" i="19"/>
  <c r="J19" i="19"/>
  <c r="AG18" i="19"/>
  <c r="AF18" i="19"/>
  <c r="AE18" i="19"/>
  <c r="AD18" i="19"/>
  <c r="AC18" i="19"/>
  <c r="Z18" i="19"/>
  <c r="W18" i="19"/>
  <c r="J18" i="19"/>
  <c r="AG17" i="19"/>
  <c r="AF17" i="19"/>
  <c r="AE17" i="19"/>
  <c r="AD17" i="19"/>
  <c r="AC17" i="19"/>
  <c r="Z17" i="19"/>
  <c r="W17" i="19"/>
  <c r="J17" i="19"/>
  <c r="AG16" i="19"/>
  <c r="AF16" i="19"/>
  <c r="AE16" i="19"/>
  <c r="AD16" i="19"/>
  <c r="AC16" i="19"/>
  <c r="Z16" i="19"/>
  <c r="W16" i="19"/>
  <c r="J16" i="19"/>
  <c r="AG15" i="19"/>
  <c r="AF15" i="19"/>
  <c r="AE15" i="19"/>
  <c r="AD15" i="19"/>
  <c r="AC15" i="19"/>
  <c r="Z15" i="19"/>
  <c r="W15" i="19"/>
  <c r="J15" i="19"/>
  <c r="AG14" i="19"/>
  <c r="AF14" i="19"/>
  <c r="AE14" i="19"/>
  <c r="AD14" i="19"/>
  <c r="AC14" i="19"/>
  <c r="Z14" i="19"/>
  <c r="W14" i="19"/>
  <c r="J14" i="19"/>
  <c r="AG13" i="19"/>
  <c r="AF13" i="19"/>
  <c r="AE13" i="19"/>
  <c r="AD13" i="19"/>
  <c r="AC13" i="19"/>
  <c r="Z13" i="19"/>
  <c r="W13" i="19"/>
  <c r="J13" i="19"/>
  <c r="AG12" i="19"/>
  <c r="AF12" i="19"/>
  <c r="AE12" i="19"/>
  <c r="AD12" i="19"/>
  <c r="AC12" i="19"/>
  <c r="Z12" i="19"/>
  <c r="W12" i="19"/>
  <c r="J12" i="19"/>
  <c r="AG11" i="19"/>
  <c r="AF11" i="19"/>
  <c r="AE11" i="19"/>
  <c r="AD11" i="19"/>
  <c r="AC11" i="19"/>
  <c r="Z11" i="19"/>
  <c r="W11" i="19"/>
  <c r="J11" i="19"/>
  <c r="AG10" i="19"/>
  <c r="AF10" i="19"/>
  <c r="AE10" i="19"/>
  <c r="AD10" i="19"/>
  <c r="AC10" i="19"/>
  <c r="Z10" i="19"/>
  <c r="W10" i="19"/>
  <c r="J10" i="19"/>
  <c r="AG9" i="19"/>
  <c r="AF9" i="19"/>
  <c r="AE9" i="19"/>
  <c r="AD9" i="19"/>
  <c r="AC9" i="19"/>
  <c r="Z9" i="19"/>
  <c r="W9" i="19"/>
  <c r="J9" i="19"/>
  <c r="AG8" i="19"/>
  <c r="AF8" i="19"/>
  <c r="AE8" i="19"/>
  <c r="AD8" i="19"/>
  <c r="AC8" i="19"/>
  <c r="Z8" i="19"/>
  <c r="W8" i="19"/>
  <c r="J8" i="19"/>
  <c r="AG7" i="19"/>
  <c r="AF7" i="19"/>
  <c r="AE7" i="19"/>
  <c r="AD7" i="19"/>
  <c r="AC7" i="19"/>
  <c r="Z7" i="19"/>
  <c r="W7" i="19"/>
  <c r="J7" i="19"/>
  <c r="AG6" i="19"/>
  <c r="AF6" i="19"/>
  <c r="AE6" i="19"/>
  <c r="AD6" i="19"/>
  <c r="AC6" i="19"/>
  <c r="Z6" i="19"/>
  <c r="W6" i="19"/>
  <c r="J6" i="19"/>
  <c r="AG5" i="19"/>
  <c r="AF5" i="19"/>
  <c r="AE5" i="19"/>
  <c r="AD5" i="19"/>
  <c r="AC5" i="19"/>
  <c r="Z5" i="19"/>
  <c r="W5" i="19"/>
  <c r="J5" i="19"/>
  <c r="AG42" i="20"/>
  <c r="AF42" i="20"/>
  <c r="AE42" i="20"/>
  <c r="AD42" i="20"/>
  <c r="AC42" i="20"/>
  <c r="Z42" i="20"/>
  <c r="W42" i="20"/>
  <c r="J42" i="20"/>
  <c r="AG41" i="20"/>
  <c r="AF41" i="20"/>
  <c r="AE41" i="20"/>
  <c r="AD41" i="20"/>
  <c r="AC41" i="20"/>
  <c r="Z41" i="20"/>
  <c r="W41" i="20"/>
  <c r="J41" i="20"/>
  <c r="AG40" i="20"/>
  <c r="AF40" i="20"/>
  <c r="AE40" i="20"/>
  <c r="AD40" i="20"/>
  <c r="AC40" i="20"/>
  <c r="Z40" i="20"/>
  <c r="W40" i="20"/>
  <c r="J40" i="20"/>
  <c r="AG39" i="20"/>
  <c r="AF39" i="20"/>
  <c r="AE39" i="20"/>
  <c r="AD39" i="20"/>
  <c r="AC39" i="20"/>
  <c r="Z39" i="20"/>
  <c r="W39" i="20"/>
  <c r="J39" i="20"/>
  <c r="AG38" i="20"/>
  <c r="AF38" i="20"/>
  <c r="AE38" i="20"/>
  <c r="AD38" i="20"/>
  <c r="AC38" i="20"/>
  <c r="Z38" i="20"/>
  <c r="W38" i="20"/>
  <c r="J38" i="20"/>
  <c r="AG37" i="20"/>
  <c r="AF37" i="20"/>
  <c r="AE37" i="20"/>
  <c r="AD37" i="20"/>
  <c r="AC37" i="20"/>
  <c r="Z37" i="20"/>
  <c r="W37" i="20"/>
  <c r="J37" i="20"/>
  <c r="AG36" i="20"/>
  <c r="AF36" i="20"/>
  <c r="AE36" i="20"/>
  <c r="AD36" i="20"/>
  <c r="AC36" i="20"/>
  <c r="Z36" i="20"/>
  <c r="W36" i="20"/>
  <c r="J36" i="20"/>
  <c r="AG35" i="20"/>
  <c r="AF35" i="20"/>
  <c r="AE35" i="20"/>
  <c r="AD35" i="20"/>
  <c r="AC35" i="20"/>
  <c r="Z35" i="20"/>
  <c r="W35" i="20"/>
  <c r="J35" i="20"/>
  <c r="AG34" i="20"/>
  <c r="AF34" i="20"/>
  <c r="AE34" i="20"/>
  <c r="AD34" i="20"/>
  <c r="AC34" i="20"/>
  <c r="Z34" i="20"/>
  <c r="W34" i="20"/>
  <c r="J34" i="20"/>
  <c r="AG33" i="20"/>
  <c r="AF33" i="20"/>
  <c r="AE33" i="20"/>
  <c r="AD33" i="20"/>
  <c r="AC33" i="20"/>
  <c r="Z33" i="20"/>
  <c r="W33" i="20"/>
  <c r="J33" i="20"/>
  <c r="AG32" i="20"/>
  <c r="AF32" i="20"/>
  <c r="AE32" i="20"/>
  <c r="AD32" i="20"/>
  <c r="AC32" i="20"/>
  <c r="Z32" i="20"/>
  <c r="W32" i="20"/>
  <c r="J32" i="20"/>
  <c r="AG31" i="20"/>
  <c r="AF31" i="20"/>
  <c r="AE31" i="20"/>
  <c r="AD31" i="20"/>
  <c r="AC31" i="20"/>
  <c r="Z31" i="20"/>
  <c r="W31" i="20"/>
  <c r="J31" i="20"/>
  <c r="AG30" i="20"/>
  <c r="AF30" i="20"/>
  <c r="AE30" i="20"/>
  <c r="AD30" i="20"/>
  <c r="AC30" i="20"/>
  <c r="Z30" i="20"/>
  <c r="W30" i="20"/>
  <c r="J30" i="20"/>
  <c r="AG29" i="20"/>
  <c r="AF29" i="20"/>
  <c r="AE29" i="20"/>
  <c r="AD29" i="20"/>
  <c r="AC29" i="20"/>
  <c r="Z29" i="20"/>
  <c r="W29" i="20"/>
  <c r="J29" i="20"/>
  <c r="AG28" i="20"/>
  <c r="AF28" i="20"/>
  <c r="AE28" i="20"/>
  <c r="AD28" i="20"/>
  <c r="AC28" i="20"/>
  <c r="Z28" i="20"/>
  <c r="W28" i="20"/>
  <c r="J28" i="20"/>
  <c r="AG27" i="20"/>
  <c r="AF27" i="20"/>
  <c r="AE27" i="20"/>
  <c r="AD27" i="20"/>
  <c r="AC27" i="20"/>
  <c r="Z27" i="20"/>
  <c r="W27" i="20"/>
  <c r="J27" i="20"/>
  <c r="AG26" i="20"/>
  <c r="AF26" i="20"/>
  <c r="AE26" i="20"/>
  <c r="AD26" i="20"/>
  <c r="AC26" i="20"/>
  <c r="Z26" i="20"/>
  <c r="W26" i="20"/>
  <c r="J26" i="20"/>
  <c r="AG21" i="20"/>
  <c r="AF21" i="20"/>
  <c r="AE21" i="20"/>
  <c r="AD21" i="20"/>
  <c r="AC21" i="20"/>
  <c r="Z21" i="20"/>
  <c r="W21" i="20"/>
  <c r="J21" i="20"/>
  <c r="AG20" i="20"/>
  <c r="AF20" i="20"/>
  <c r="AE20" i="20"/>
  <c r="AD20" i="20"/>
  <c r="AC20" i="20"/>
  <c r="Z20" i="20"/>
  <c r="W20" i="20"/>
  <c r="J20" i="20"/>
  <c r="AG19" i="20"/>
  <c r="AF19" i="20"/>
  <c r="AE19" i="20"/>
  <c r="AD19" i="20"/>
  <c r="AC19" i="20"/>
  <c r="Z19" i="20"/>
  <c r="W19" i="20"/>
  <c r="J19" i="20"/>
  <c r="AG18" i="20"/>
  <c r="AF18" i="20"/>
  <c r="AE18" i="20"/>
  <c r="AD18" i="20"/>
  <c r="AC18" i="20"/>
  <c r="Z18" i="20"/>
  <c r="W18" i="20"/>
  <c r="J18" i="20"/>
  <c r="AG17" i="20"/>
  <c r="AF17" i="20"/>
  <c r="AE17" i="20"/>
  <c r="AD17" i="20"/>
  <c r="AC17" i="20"/>
  <c r="Z17" i="20"/>
  <c r="W17" i="20"/>
  <c r="J17" i="20"/>
  <c r="AG16" i="20"/>
  <c r="AF16" i="20"/>
  <c r="AE16" i="20"/>
  <c r="AD16" i="20"/>
  <c r="AC16" i="20"/>
  <c r="Z16" i="20"/>
  <c r="W16" i="20"/>
  <c r="J16" i="20"/>
  <c r="AG15" i="20"/>
  <c r="AF15" i="20"/>
  <c r="AE15" i="20"/>
  <c r="AD15" i="20"/>
  <c r="AC15" i="20"/>
  <c r="Z15" i="20"/>
  <c r="W15" i="20"/>
  <c r="J15" i="20"/>
  <c r="AG14" i="20"/>
  <c r="AF14" i="20"/>
  <c r="AE14" i="20"/>
  <c r="AD14" i="20"/>
  <c r="AC14" i="20"/>
  <c r="Z14" i="20"/>
  <c r="W14" i="20"/>
  <c r="J14" i="20"/>
  <c r="AG13" i="20"/>
  <c r="AF13" i="20"/>
  <c r="AE13" i="20"/>
  <c r="AD13" i="20"/>
  <c r="AC13" i="20"/>
  <c r="Z13" i="20"/>
  <c r="W13" i="20"/>
  <c r="J13" i="20"/>
  <c r="AG12" i="20"/>
  <c r="AF12" i="20"/>
  <c r="AE12" i="20"/>
  <c r="AD12" i="20"/>
  <c r="AC12" i="20"/>
  <c r="Z12" i="20"/>
  <c r="W12" i="20"/>
  <c r="J12" i="20"/>
  <c r="AG11" i="20"/>
  <c r="AF11" i="20"/>
  <c r="AE11" i="20"/>
  <c r="AD11" i="20"/>
  <c r="AC11" i="20"/>
  <c r="Z11" i="20"/>
  <c r="W11" i="20"/>
  <c r="J11" i="20"/>
  <c r="AG10" i="20"/>
  <c r="AF10" i="20"/>
  <c r="AE10" i="20"/>
  <c r="AD10" i="20"/>
  <c r="AC10" i="20"/>
  <c r="Z10" i="20"/>
  <c r="W10" i="20"/>
  <c r="J10" i="20"/>
  <c r="AG9" i="20"/>
  <c r="AF9" i="20"/>
  <c r="AE9" i="20"/>
  <c r="AD9" i="20"/>
  <c r="AC9" i="20"/>
  <c r="Z9" i="20"/>
  <c r="W9" i="20"/>
  <c r="J9" i="20"/>
  <c r="AG8" i="20"/>
  <c r="AF8" i="20"/>
  <c r="AE8" i="20"/>
  <c r="AD8" i="20"/>
  <c r="AC8" i="20"/>
  <c r="Z8" i="20"/>
  <c r="W8" i="20"/>
  <c r="J8" i="20"/>
  <c r="AG7" i="20"/>
  <c r="AF7" i="20"/>
  <c r="AE7" i="20"/>
  <c r="AD7" i="20"/>
  <c r="AC7" i="20"/>
  <c r="Z7" i="20"/>
  <c r="W7" i="20"/>
  <c r="J7" i="20"/>
  <c r="AG6" i="20"/>
  <c r="AF6" i="20"/>
  <c r="AE6" i="20"/>
  <c r="AD6" i="20"/>
  <c r="AC6" i="20"/>
  <c r="Z6" i="20"/>
  <c r="W6" i="20"/>
  <c r="J6" i="20"/>
  <c r="AG5" i="20"/>
  <c r="AF5" i="20"/>
  <c r="AE5" i="20"/>
  <c r="AD5" i="20"/>
  <c r="AC5" i="20"/>
  <c r="Z5" i="20"/>
  <c r="W5" i="20"/>
  <c r="J5" i="20"/>
  <c r="AG42" i="18"/>
  <c r="AF42" i="18"/>
  <c r="AE42" i="18"/>
  <c r="AD42" i="18"/>
  <c r="AC42" i="18"/>
  <c r="Z42" i="18"/>
  <c r="W42" i="18"/>
  <c r="J42" i="18"/>
  <c r="AG41" i="18"/>
  <c r="AF41" i="18"/>
  <c r="AE41" i="18"/>
  <c r="AD41" i="18"/>
  <c r="AC41" i="18"/>
  <c r="Z41" i="18"/>
  <c r="W41" i="18"/>
  <c r="J41" i="18"/>
  <c r="AG40" i="18"/>
  <c r="AF40" i="18"/>
  <c r="AE40" i="18"/>
  <c r="AD40" i="18"/>
  <c r="AC40" i="18"/>
  <c r="Z40" i="18"/>
  <c r="W40" i="18"/>
  <c r="J40" i="18"/>
  <c r="AG39" i="18"/>
  <c r="AF39" i="18"/>
  <c r="AE39" i="18"/>
  <c r="AD39" i="18"/>
  <c r="AC39" i="18"/>
  <c r="Z39" i="18"/>
  <c r="W39" i="18"/>
  <c r="J39" i="18"/>
  <c r="AG38" i="18"/>
  <c r="AF38" i="18"/>
  <c r="AE38" i="18"/>
  <c r="AD38" i="18"/>
  <c r="AC38" i="18"/>
  <c r="Z38" i="18"/>
  <c r="W38" i="18"/>
  <c r="J38" i="18"/>
  <c r="AG37" i="18"/>
  <c r="AF37" i="18"/>
  <c r="AE37" i="18"/>
  <c r="AD37" i="18"/>
  <c r="AC37" i="18"/>
  <c r="Z37" i="18"/>
  <c r="W37" i="18"/>
  <c r="J37" i="18"/>
  <c r="AG36" i="18"/>
  <c r="AF36" i="18"/>
  <c r="AE36" i="18"/>
  <c r="AD36" i="18"/>
  <c r="AC36" i="18"/>
  <c r="Z36" i="18"/>
  <c r="W36" i="18"/>
  <c r="J36" i="18"/>
  <c r="AG35" i="18"/>
  <c r="AF35" i="18"/>
  <c r="AE35" i="18"/>
  <c r="AD35" i="18"/>
  <c r="AC35" i="18"/>
  <c r="Z35" i="18"/>
  <c r="W35" i="18"/>
  <c r="J35" i="18"/>
  <c r="AG34" i="18"/>
  <c r="AF34" i="18"/>
  <c r="AE34" i="18"/>
  <c r="AD34" i="18"/>
  <c r="AC34" i="18"/>
  <c r="Z34" i="18"/>
  <c r="W34" i="18"/>
  <c r="J34" i="18"/>
  <c r="AG33" i="18"/>
  <c r="AF33" i="18"/>
  <c r="AE33" i="18"/>
  <c r="AD33" i="18"/>
  <c r="AC33" i="18"/>
  <c r="Z33" i="18"/>
  <c r="W33" i="18"/>
  <c r="J33" i="18"/>
  <c r="AG32" i="18"/>
  <c r="AF32" i="18"/>
  <c r="AE32" i="18"/>
  <c r="AD32" i="18"/>
  <c r="AC32" i="18"/>
  <c r="Z32" i="18"/>
  <c r="W32" i="18"/>
  <c r="J32" i="18"/>
  <c r="AG31" i="18"/>
  <c r="AF31" i="18"/>
  <c r="AE31" i="18"/>
  <c r="AD31" i="18"/>
  <c r="AC31" i="18"/>
  <c r="Z31" i="18"/>
  <c r="W31" i="18"/>
  <c r="J31" i="18"/>
  <c r="AG30" i="18"/>
  <c r="AF30" i="18"/>
  <c r="AE30" i="18"/>
  <c r="AD30" i="18"/>
  <c r="AC30" i="18"/>
  <c r="Z30" i="18"/>
  <c r="W30" i="18"/>
  <c r="J30" i="18"/>
  <c r="AG29" i="18"/>
  <c r="AF29" i="18"/>
  <c r="AE29" i="18"/>
  <c r="AD29" i="18"/>
  <c r="AC29" i="18"/>
  <c r="Z29" i="18"/>
  <c r="W29" i="18"/>
  <c r="J29" i="18"/>
  <c r="AG28" i="18"/>
  <c r="AF28" i="18"/>
  <c r="AE28" i="18"/>
  <c r="AD28" i="18"/>
  <c r="AC28" i="18"/>
  <c r="Z28" i="18"/>
  <c r="W28" i="18"/>
  <c r="J28" i="18"/>
  <c r="AG27" i="18"/>
  <c r="AF27" i="18"/>
  <c r="AE27" i="18"/>
  <c r="AD27" i="18"/>
  <c r="AC27" i="18"/>
  <c r="Z27" i="18"/>
  <c r="W27" i="18"/>
  <c r="J27" i="18"/>
  <c r="AG26" i="18"/>
  <c r="AF26" i="18"/>
  <c r="AE26" i="18"/>
  <c r="AD26" i="18"/>
  <c r="AC26" i="18"/>
  <c r="Z26" i="18"/>
  <c r="W26" i="18"/>
  <c r="J26" i="18"/>
  <c r="AG21" i="18"/>
  <c r="AF21" i="18"/>
  <c r="AE21" i="18"/>
  <c r="AD21" i="18"/>
  <c r="AC21" i="18"/>
  <c r="Z21" i="18"/>
  <c r="W21" i="18"/>
  <c r="J21" i="18"/>
  <c r="AG20" i="18"/>
  <c r="AF20" i="18"/>
  <c r="AE20" i="18"/>
  <c r="AD20" i="18"/>
  <c r="AC20" i="18"/>
  <c r="Z20" i="18"/>
  <c r="W20" i="18"/>
  <c r="J20" i="18"/>
  <c r="AG19" i="18"/>
  <c r="AF19" i="18"/>
  <c r="AE19" i="18"/>
  <c r="AD19" i="18"/>
  <c r="AC19" i="18"/>
  <c r="Z19" i="18"/>
  <c r="W19" i="18"/>
  <c r="J19" i="18"/>
  <c r="AG18" i="18"/>
  <c r="AF18" i="18"/>
  <c r="AE18" i="18"/>
  <c r="AD18" i="18"/>
  <c r="AC18" i="18"/>
  <c r="Z18" i="18"/>
  <c r="W18" i="18"/>
  <c r="J18" i="18"/>
  <c r="AG17" i="18"/>
  <c r="AF17" i="18"/>
  <c r="AE17" i="18"/>
  <c r="AD17" i="18"/>
  <c r="AC17" i="18"/>
  <c r="Z17" i="18"/>
  <c r="W17" i="18"/>
  <c r="J17" i="18"/>
  <c r="AG16" i="18"/>
  <c r="AF16" i="18"/>
  <c r="AE16" i="18"/>
  <c r="AD16" i="18"/>
  <c r="AC16" i="18"/>
  <c r="Z16" i="18"/>
  <c r="W16" i="18"/>
  <c r="J16" i="18"/>
  <c r="AG15" i="18"/>
  <c r="AF15" i="18"/>
  <c r="AE15" i="18"/>
  <c r="AD15" i="18"/>
  <c r="AC15" i="18"/>
  <c r="Z15" i="18"/>
  <c r="W15" i="18"/>
  <c r="J15" i="18"/>
  <c r="AG14" i="18"/>
  <c r="AF14" i="18"/>
  <c r="AE14" i="18"/>
  <c r="AD14" i="18"/>
  <c r="AC14" i="18"/>
  <c r="Z14" i="18"/>
  <c r="W14" i="18"/>
  <c r="J14" i="18"/>
  <c r="AG13" i="18"/>
  <c r="AF13" i="18"/>
  <c r="AE13" i="18"/>
  <c r="AD13" i="18"/>
  <c r="AC13" i="18"/>
  <c r="Z13" i="18"/>
  <c r="W13" i="18"/>
  <c r="J13" i="18"/>
  <c r="AG12" i="18"/>
  <c r="AF12" i="18"/>
  <c r="AE12" i="18"/>
  <c r="AD12" i="18"/>
  <c r="AC12" i="18"/>
  <c r="Z12" i="18"/>
  <c r="W12" i="18"/>
  <c r="J12" i="18"/>
  <c r="AG11" i="18"/>
  <c r="AF11" i="18"/>
  <c r="AE11" i="18"/>
  <c r="AD11" i="18"/>
  <c r="AC11" i="18"/>
  <c r="Z11" i="18"/>
  <c r="W11" i="18"/>
  <c r="J11" i="18"/>
  <c r="AG10" i="18"/>
  <c r="AF10" i="18"/>
  <c r="AE10" i="18"/>
  <c r="AD10" i="18"/>
  <c r="AC10" i="18"/>
  <c r="Z10" i="18"/>
  <c r="W10" i="18"/>
  <c r="J10" i="18"/>
  <c r="AG9" i="18"/>
  <c r="AF9" i="18"/>
  <c r="AE9" i="18"/>
  <c r="AD9" i="18"/>
  <c r="AC9" i="18"/>
  <c r="Z9" i="18"/>
  <c r="W9" i="18"/>
  <c r="J9" i="18"/>
  <c r="AG8" i="18"/>
  <c r="AF8" i="18"/>
  <c r="AE8" i="18"/>
  <c r="AD8" i="18"/>
  <c r="AC8" i="18"/>
  <c r="Z8" i="18"/>
  <c r="W8" i="18"/>
  <c r="J8" i="18"/>
  <c r="AG7" i="18"/>
  <c r="AF7" i="18"/>
  <c r="AE7" i="18"/>
  <c r="AD7" i="18"/>
  <c r="AC7" i="18"/>
  <c r="Z7" i="18"/>
  <c r="W7" i="18"/>
  <c r="J7" i="18"/>
  <c r="AG6" i="18"/>
  <c r="AF6" i="18"/>
  <c r="AE6" i="18"/>
  <c r="AD6" i="18"/>
  <c r="AC6" i="18"/>
  <c r="Z6" i="18"/>
  <c r="W6" i="18"/>
  <c r="J6" i="18"/>
  <c r="AG5" i="18"/>
  <c r="AF5" i="18"/>
  <c r="AE5" i="18"/>
  <c r="AD5" i="18"/>
  <c r="AC5" i="18"/>
  <c r="Z5" i="18"/>
  <c r="W5" i="18"/>
  <c r="J5" i="18"/>
  <c r="AG42" i="17"/>
  <c r="AF42" i="17"/>
  <c r="AE42" i="17"/>
  <c r="AD42" i="17"/>
  <c r="AC42" i="17"/>
  <c r="Z42" i="17"/>
  <c r="W42" i="17"/>
  <c r="J42" i="17"/>
  <c r="AG41" i="17"/>
  <c r="AF41" i="17"/>
  <c r="AE41" i="17"/>
  <c r="AD41" i="17"/>
  <c r="AC41" i="17"/>
  <c r="Z41" i="17"/>
  <c r="W41" i="17"/>
  <c r="J41" i="17"/>
  <c r="AG40" i="17"/>
  <c r="AF40" i="17"/>
  <c r="AE40" i="17"/>
  <c r="AD40" i="17"/>
  <c r="AC40" i="17"/>
  <c r="Z40" i="17"/>
  <c r="W40" i="17"/>
  <c r="J40" i="17"/>
  <c r="AG39" i="17"/>
  <c r="AF39" i="17"/>
  <c r="AE39" i="17"/>
  <c r="AD39" i="17"/>
  <c r="AC39" i="17"/>
  <c r="Z39" i="17"/>
  <c r="W39" i="17"/>
  <c r="J39" i="17"/>
  <c r="AG38" i="17"/>
  <c r="AF38" i="17"/>
  <c r="AE38" i="17"/>
  <c r="AD38" i="17"/>
  <c r="AC38" i="17"/>
  <c r="Z38" i="17"/>
  <c r="W38" i="17"/>
  <c r="J38" i="17"/>
  <c r="AG37" i="17"/>
  <c r="AF37" i="17"/>
  <c r="AE37" i="17"/>
  <c r="AD37" i="17"/>
  <c r="AC37" i="17"/>
  <c r="Z37" i="17"/>
  <c r="W37" i="17"/>
  <c r="J37" i="17"/>
  <c r="AG36" i="17"/>
  <c r="AF36" i="17"/>
  <c r="AE36" i="17"/>
  <c r="AD36" i="17"/>
  <c r="AC36" i="17"/>
  <c r="Z36" i="17"/>
  <c r="W36" i="17"/>
  <c r="J36" i="17"/>
  <c r="AG35" i="17"/>
  <c r="AF35" i="17"/>
  <c r="AE35" i="17"/>
  <c r="AD35" i="17"/>
  <c r="AC35" i="17"/>
  <c r="Z35" i="17"/>
  <c r="W35" i="17"/>
  <c r="J35" i="17"/>
  <c r="AG34" i="17"/>
  <c r="AF34" i="17"/>
  <c r="AE34" i="17"/>
  <c r="AD34" i="17"/>
  <c r="AC34" i="17"/>
  <c r="Z34" i="17"/>
  <c r="W34" i="17"/>
  <c r="J34" i="17"/>
  <c r="AG33" i="17"/>
  <c r="AF33" i="17"/>
  <c r="AE33" i="17"/>
  <c r="AD33" i="17"/>
  <c r="AC33" i="17"/>
  <c r="Z33" i="17"/>
  <c r="W33" i="17"/>
  <c r="J33" i="17"/>
  <c r="AG32" i="17"/>
  <c r="AF32" i="17"/>
  <c r="AE32" i="17"/>
  <c r="AD32" i="17"/>
  <c r="AC32" i="17"/>
  <c r="Z32" i="17"/>
  <c r="W32" i="17"/>
  <c r="J32" i="17"/>
  <c r="AG31" i="17"/>
  <c r="AF31" i="17"/>
  <c r="AE31" i="17"/>
  <c r="AD31" i="17"/>
  <c r="AC31" i="17"/>
  <c r="Z31" i="17"/>
  <c r="W31" i="17"/>
  <c r="J31" i="17"/>
  <c r="AG30" i="17"/>
  <c r="AF30" i="17"/>
  <c r="AE30" i="17"/>
  <c r="AD30" i="17"/>
  <c r="AC30" i="17"/>
  <c r="Z30" i="17"/>
  <c r="W30" i="17"/>
  <c r="J30" i="17"/>
  <c r="AG29" i="17"/>
  <c r="AF29" i="17"/>
  <c r="AE29" i="17"/>
  <c r="AD29" i="17"/>
  <c r="AC29" i="17"/>
  <c r="Z29" i="17"/>
  <c r="W29" i="17"/>
  <c r="J29" i="17"/>
  <c r="AG28" i="17"/>
  <c r="AF28" i="17"/>
  <c r="AE28" i="17"/>
  <c r="AD28" i="17"/>
  <c r="AC28" i="17"/>
  <c r="Z28" i="17"/>
  <c r="W28" i="17"/>
  <c r="J28" i="17"/>
  <c r="AG27" i="17"/>
  <c r="AF27" i="17"/>
  <c r="AE27" i="17"/>
  <c r="AD27" i="17"/>
  <c r="AC27" i="17"/>
  <c r="Z27" i="17"/>
  <c r="W27" i="17"/>
  <c r="J27" i="17"/>
  <c r="AG26" i="17"/>
  <c r="AF26" i="17"/>
  <c r="AE26" i="17"/>
  <c r="AD26" i="17"/>
  <c r="AC26" i="17"/>
  <c r="Z26" i="17"/>
  <c r="W26" i="17"/>
  <c r="J26" i="17"/>
  <c r="AG21" i="17"/>
  <c r="AF21" i="17"/>
  <c r="AE21" i="17"/>
  <c r="AD21" i="17"/>
  <c r="AC21" i="17"/>
  <c r="Z21" i="17"/>
  <c r="W21" i="17"/>
  <c r="J21" i="17"/>
  <c r="AG20" i="17"/>
  <c r="AF20" i="17"/>
  <c r="AE20" i="17"/>
  <c r="AD20" i="17"/>
  <c r="AC20" i="17"/>
  <c r="Z20" i="17"/>
  <c r="W20" i="17"/>
  <c r="J20" i="17"/>
  <c r="AG19" i="17"/>
  <c r="AF19" i="17"/>
  <c r="AE19" i="17"/>
  <c r="AD19" i="17"/>
  <c r="AC19" i="17"/>
  <c r="Z19" i="17"/>
  <c r="W19" i="17"/>
  <c r="J19" i="17"/>
  <c r="AG18" i="17"/>
  <c r="AF18" i="17"/>
  <c r="AE18" i="17"/>
  <c r="AD18" i="17"/>
  <c r="AC18" i="17"/>
  <c r="Z18" i="17"/>
  <c r="W18" i="17"/>
  <c r="J18" i="17"/>
  <c r="AG17" i="17"/>
  <c r="AF17" i="17"/>
  <c r="AE17" i="17"/>
  <c r="AD17" i="17"/>
  <c r="AC17" i="17"/>
  <c r="Z17" i="17"/>
  <c r="W17" i="17"/>
  <c r="J17" i="17"/>
  <c r="AG16" i="17"/>
  <c r="AF16" i="17"/>
  <c r="AE16" i="17"/>
  <c r="AD16" i="17"/>
  <c r="AC16" i="17"/>
  <c r="Z16" i="17"/>
  <c r="W16" i="17"/>
  <c r="J16" i="17"/>
  <c r="AG15" i="17"/>
  <c r="AF15" i="17"/>
  <c r="AE15" i="17"/>
  <c r="AD15" i="17"/>
  <c r="AC15" i="17"/>
  <c r="Z15" i="17"/>
  <c r="W15" i="17"/>
  <c r="J15" i="17"/>
  <c r="AG14" i="17"/>
  <c r="AF14" i="17"/>
  <c r="AE14" i="17"/>
  <c r="AD14" i="17"/>
  <c r="AC14" i="17"/>
  <c r="Z14" i="17"/>
  <c r="W14" i="17"/>
  <c r="J14" i="17"/>
  <c r="AG13" i="17"/>
  <c r="AF13" i="17"/>
  <c r="AE13" i="17"/>
  <c r="AD13" i="17"/>
  <c r="AC13" i="17"/>
  <c r="Z13" i="17"/>
  <c r="W13" i="17"/>
  <c r="J13" i="17"/>
  <c r="AG12" i="17"/>
  <c r="AF12" i="17"/>
  <c r="AE12" i="17"/>
  <c r="AD12" i="17"/>
  <c r="AC12" i="17"/>
  <c r="Z12" i="17"/>
  <c r="W12" i="17"/>
  <c r="J12" i="17"/>
  <c r="AG11" i="17"/>
  <c r="AF11" i="17"/>
  <c r="AE11" i="17"/>
  <c r="AD11" i="17"/>
  <c r="AC11" i="17"/>
  <c r="Z11" i="17"/>
  <c r="W11" i="17"/>
  <c r="J11" i="17"/>
  <c r="AG10" i="17"/>
  <c r="AF10" i="17"/>
  <c r="AE10" i="17"/>
  <c r="AD10" i="17"/>
  <c r="AC10" i="17"/>
  <c r="Z10" i="17"/>
  <c r="W10" i="17"/>
  <c r="J10" i="17"/>
  <c r="AG9" i="17"/>
  <c r="AF9" i="17"/>
  <c r="AE9" i="17"/>
  <c r="AD9" i="17"/>
  <c r="AC9" i="17"/>
  <c r="Z9" i="17"/>
  <c r="W9" i="17"/>
  <c r="J9" i="17"/>
  <c r="AG8" i="17"/>
  <c r="AF8" i="17"/>
  <c r="AE8" i="17"/>
  <c r="AD8" i="17"/>
  <c r="AC8" i="17"/>
  <c r="Z8" i="17"/>
  <c r="W8" i="17"/>
  <c r="J8" i="17"/>
  <c r="AG7" i="17"/>
  <c r="AF7" i="17"/>
  <c r="AE7" i="17"/>
  <c r="AD7" i="17"/>
  <c r="AC7" i="17"/>
  <c r="Z7" i="17"/>
  <c r="W7" i="17"/>
  <c r="J7" i="17"/>
  <c r="AG6" i="17"/>
  <c r="AF6" i="17"/>
  <c r="AE6" i="17"/>
  <c r="AD6" i="17"/>
  <c r="AC6" i="17"/>
  <c r="Z6" i="17"/>
  <c r="W6" i="17"/>
  <c r="J6" i="17"/>
  <c r="AG5" i="17"/>
  <c r="AF5" i="17"/>
  <c r="AE5" i="17"/>
  <c r="AD5" i="17"/>
  <c r="AC5" i="17"/>
  <c r="Z5" i="17"/>
  <c r="W5" i="17"/>
  <c r="N41" i="16"/>
  <c r="M41" i="16"/>
  <c r="L41" i="16"/>
  <c r="K41" i="16"/>
  <c r="J41" i="16"/>
  <c r="O40" i="16"/>
  <c r="N40" i="16"/>
  <c r="M40" i="16"/>
  <c r="L40" i="16"/>
  <c r="K40" i="16"/>
  <c r="J40" i="16"/>
  <c r="O39" i="16"/>
  <c r="N39" i="16"/>
  <c r="M39" i="16"/>
  <c r="L39" i="16"/>
  <c r="K39" i="16"/>
  <c r="J39" i="16"/>
  <c r="O38" i="16"/>
  <c r="N38" i="16"/>
  <c r="M38" i="16"/>
  <c r="L38" i="16"/>
  <c r="K38" i="16"/>
  <c r="J38" i="16"/>
  <c r="O37" i="16"/>
  <c r="N37" i="16"/>
  <c r="M37" i="16"/>
  <c r="L37" i="16"/>
  <c r="K37" i="16"/>
  <c r="J37" i="16"/>
  <c r="O36" i="16"/>
  <c r="N36" i="16"/>
  <c r="M36" i="16"/>
  <c r="L36" i="16"/>
  <c r="K36" i="16"/>
  <c r="J36" i="16"/>
  <c r="O35" i="16"/>
  <c r="N35" i="16"/>
  <c r="M35" i="16"/>
  <c r="L35" i="16"/>
  <c r="K35" i="16"/>
  <c r="J35" i="16"/>
  <c r="O34" i="16"/>
  <c r="N34" i="16"/>
  <c r="M34" i="16"/>
  <c r="L34" i="16"/>
  <c r="K34" i="16"/>
  <c r="J34" i="16"/>
  <c r="O33" i="16"/>
  <c r="N33" i="16"/>
  <c r="M33" i="16"/>
  <c r="L33" i="16"/>
  <c r="K33" i="16"/>
  <c r="J33" i="16"/>
  <c r="O32" i="16"/>
  <c r="N32" i="16"/>
  <c r="M32" i="16"/>
  <c r="L32" i="16"/>
  <c r="K32" i="16"/>
  <c r="J32" i="16"/>
  <c r="O31" i="16"/>
  <c r="N31" i="16"/>
  <c r="M31" i="16"/>
  <c r="L31" i="16"/>
  <c r="K31" i="16"/>
  <c r="J31" i="16"/>
  <c r="O30" i="16"/>
  <c r="N30" i="16"/>
  <c r="M30" i="16"/>
  <c r="L30" i="16"/>
  <c r="K30" i="16"/>
  <c r="J30" i="16"/>
  <c r="O29" i="16"/>
  <c r="N29" i="16"/>
  <c r="M29" i="16"/>
  <c r="L29" i="16"/>
  <c r="K29" i="16"/>
  <c r="J29" i="16"/>
  <c r="O28" i="16"/>
  <c r="N28" i="16"/>
  <c r="M28" i="16"/>
  <c r="L28" i="16"/>
  <c r="K28" i="16"/>
  <c r="J28" i="16"/>
  <c r="O27" i="16"/>
  <c r="N27" i="16"/>
  <c r="M27" i="16"/>
  <c r="L27" i="16"/>
  <c r="K27" i="16"/>
  <c r="J27" i="16"/>
  <c r="O26" i="16"/>
  <c r="N26" i="16"/>
  <c r="M26" i="16"/>
  <c r="L26" i="16"/>
  <c r="K26" i="16"/>
  <c r="J26" i="16"/>
  <c r="O25" i="16"/>
  <c r="N25" i="16"/>
  <c r="M25" i="16"/>
  <c r="L25" i="16"/>
  <c r="K25" i="16"/>
  <c r="J25" i="16"/>
  <c r="N41" i="15"/>
  <c r="M41" i="15"/>
  <c r="L41" i="15"/>
  <c r="K41" i="15"/>
  <c r="J41" i="15"/>
  <c r="O40" i="15"/>
  <c r="N40" i="15"/>
  <c r="M40" i="15"/>
  <c r="L40" i="15"/>
  <c r="K40" i="15"/>
  <c r="J40" i="15"/>
  <c r="O39" i="15"/>
  <c r="N39" i="15"/>
  <c r="M39" i="15"/>
  <c r="L39" i="15"/>
  <c r="K39" i="15"/>
  <c r="J39" i="15"/>
  <c r="O38" i="15"/>
  <c r="N38" i="15"/>
  <c r="M38" i="15"/>
  <c r="L38" i="15"/>
  <c r="K38" i="15"/>
  <c r="J38" i="15"/>
  <c r="O37" i="15"/>
  <c r="N37" i="15"/>
  <c r="M37" i="15"/>
  <c r="L37" i="15"/>
  <c r="K37" i="15"/>
  <c r="J37" i="15"/>
  <c r="O36" i="15"/>
  <c r="N36" i="15"/>
  <c r="M36" i="15"/>
  <c r="L36" i="15"/>
  <c r="K36" i="15"/>
  <c r="J36" i="15"/>
  <c r="O35" i="15"/>
  <c r="N35" i="15"/>
  <c r="M35" i="15"/>
  <c r="L35" i="15"/>
  <c r="K35" i="15"/>
  <c r="J35" i="15"/>
  <c r="O34" i="15"/>
  <c r="N34" i="15"/>
  <c r="M34" i="15"/>
  <c r="L34" i="15"/>
  <c r="K34" i="15"/>
  <c r="J34" i="15"/>
  <c r="O33" i="15"/>
  <c r="N33" i="15"/>
  <c r="M33" i="15"/>
  <c r="L33" i="15"/>
  <c r="K33" i="15"/>
  <c r="J33" i="15"/>
  <c r="O32" i="15"/>
  <c r="N32" i="15"/>
  <c r="M32" i="15"/>
  <c r="L32" i="15"/>
  <c r="K32" i="15"/>
  <c r="J32" i="15"/>
  <c r="O31" i="15"/>
  <c r="N31" i="15"/>
  <c r="M31" i="15"/>
  <c r="L31" i="15"/>
  <c r="K31" i="15"/>
  <c r="J31" i="15"/>
  <c r="O30" i="15"/>
  <c r="N30" i="15"/>
  <c r="M30" i="15"/>
  <c r="L30" i="15"/>
  <c r="K30" i="15"/>
  <c r="J30" i="15"/>
  <c r="O29" i="15"/>
  <c r="N29" i="15"/>
  <c r="M29" i="15"/>
  <c r="L29" i="15"/>
  <c r="K29" i="15"/>
  <c r="J29" i="15"/>
  <c r="O28" i="15"/>
  <c r="N28" i="15"/>
  <c r="M28" i="15"/>
  <c r="L28" i="15"/>
  <c r="K28" i="15"/>
  <c r="J28" i="15"/>
  <c r="O27" i="15"/>
  <c r="N27" i="15"/>
  <c r="M27" i="15"/>
  <c r="L27" i="15"/>
  <c r="K27" i="15"/>
  <c r="J27" i="15"/>
  <c r="O26" i="15"/>
  <c r="N26" i="15"/>
  <c r="M26" i="15"/>
  <c r="L26" i="15"/>
  <c r="K26" i="15"/>
  <c r="J26" i="15"/>
  <c r="O25" i="15"/>
  <c r="N25" i="15"/>
  <c r="M25" i="15"/>
  <c r="L25" i="15"/>
  <c r="K25" i="15"/>
  <c r="J25" i="15"/>
  <c r="N41" i="14"/>
  <c r="M41" i="14"/>
  <c r="L41" i="14"/>
  <c r="K41" i="14"/>
  <c r="J41" i="14"/>
  <c r="O40" i="14"/>
  <c r="N40" i="14"/>
  <c r="M40" i="14"/>
  <c r="L40" i="14"/>
  <c r="K40" i="14"/>
  <c r="J40" i="14"/>
  <c r="O39" i="14"/>
  <c r="N39" i="14"/>
  <c r="M39" i="14"/>
  <c r="L39" i="14"/>
  <c r="K39" i="14"/>
  <c r="J39" i="14"/>
  <c r="O38" i="14"/>
  <c r="N38" i="14"/>
  <c r="M38" i="14"/>
  <c r="L38" i="14"/>
  <c r="K38" i="14"/>
  <c r="J38" i="14"/>
  <c r="O37" i="14"/>
  <c r="N37" i="14"/>
  <c r="M37" i="14"/>
  <c r="L37" i="14"/>
  <c r="K37" i="14"/>
  <c r="J37" i="14"/>
  <c r="O36" i="14"/>
  <c r="N36" i="14"/>
  <c r="M36" i="14"/>
  <c r="L36" i="14"/>
  <c r="K36" i="14"/>
  <c r="J36" i="14"/>
  <c r="O35" i="14"/>
  <c r="N35" i="14"/>
  <c r="M35" i="14"/>
  <c r="L35" i="14"/>
  <c r="K35" i="14"/>
  <c r="J35" i="14"/>
  <c r="O34" i="14"/>
  <c r="N34" i="14"/>
  <c r="M34" i="14"/>
  <c r="L34" i="14"/>
  <c r="K34" i="14"/>
  <c r="J34" i="14"/>
  <c r="O33" i="14"/>
  <c r="N33" i="14"/>
  <c r="M33" i="14"/>
  <c r="L33" i="14"/>
  <c r="K33" i="14"/>
  <c r="J33" i="14"/>
  <c r="O32" i="14"/>
  <c r="N32" i="14"/>
  <c r="M32" i="14"/>
  <c r="L32" i="14"/>
  <c r="K32" i="14"/>
  <c r="J32" i="14"/>
  <c r="O31" i="14"/>
  <c r="N31" i="14"/>
  <c r="M31" i="14"/>
  <c r="L31" i="14"/>
  <c r="K31" i="14"/>
  <c r="J31" i="14"/>
  <c r="O30" i="14"/>
  <c r="N30" i="14"/>
  <c r="M30" i="14"/>
  <c r="L30" i="14"/>
  <c r="K30" i="14"/>
  <c r="J30" i="14"/>
  <c r="O29" i="14"/>
  <c r="N29" i="14"/>
  <c r="M29" i="14"/>
  <c r="L29" i="14"/>
  <c r="K29" i="14"/>
  <c r="J29" i="14"/>
  <c r="O28" i="14"/>
  <c r="N28" i="14"/>
  <c r="M28" i="14"/>
  <c r="L28" i="14"/>
  <c r="K28" i="14"/>
  <c r="J28" i="14"/>
  <c r="O27" i="14"/>
  <c r="N27" i="14"/>
  <c r="M27" i="14"/>
  <c r="L27" i="14"/>
  <c r="K27" i="14"/>
  <c r="J27" i="14"/>
  <c r="O26" i="14"/>
  <c r="N26" i="14"/>
  <c r="M26" i="14"/>
  <c r="L26" i="14"/>
  <c r="K26" i="14"/>
  <c r="J26" i="14"/>
  <c r="O25" i="14"/>
  <c r="N25" i="14"/>
  <c r="M25" i="14"/>
  <c r="L25" i="14"/>
  <c r="K25" i="14"/>
  <c r="J25" i="14"/>
  <c r="N41" i="13"/>
  <c r="M41" i="13"/>
  <c r="L41" i="13"/>
  <c r="K41" i="13"/>
  <c r="J41" i="13"/>
  <c r="O40" i="13"/>
  <c r="N40" i="13"/>
  <c r="M40" i="13"/>
  <c r="L40" i="13"/>
  <c r="K40" i="13"/>
  <c r="J40" i="13"/>
  <c r="O39" i="13"/>
  <c r="N39" i="13"/>
  <c r="M39" i="13"/>
  <c r="L39" i="13"/>
  <c r="K39" i="13"/>
  <c r="J39" i="13"/>
  <c r="O38" i="13"/>
  <c r="N38" i="13"/>
  <c r="M38" i="13"/>
  <c r="L38" i="13"/>
  <c r="K38" i="13"/>
  <c r="J38" i="13"/>
  <c r="O37" i="13"/>
  <c r="N37" i="13"/>
  <c r="M37" i="13"/>
  <c r="L37" i="13"/>
  <c r="K37" i="13"/>
  <c r="J37" i="13"/>
  <c r="O36" i="13"/>
  <c r="N36" i="13"/>
  <c r="M36" i="13"/>
  <c r="L36" i="13"/>
  <c r="K36" i="13"/>
  <c r="J36" i="13"/>
  <c r="O35" i="13"/>
  <c r="N35" i="13"/>
  <c r="M35" i="13"/>
  <c r="L35" i="13"/>
  <c r="K35" i="13"/>
  <c r="J35" i="13"/>
  <c r="O34" i="13"/>
  <c r="N34" i="13"/>
  <c r="M34" i="13"/>
  <c r="L34" i="13"/>
  <c r="K34" i="13"/>
  <c r="J34" i="13"/>
  <c r="O33" i="13"/>
  <c r="N33" i="13"/>
  <c r="M33" i="13"/>
  <c r="L33" i="13"/>
  <c r="K33" i="13"/>
  <c r="J33" i="13"/>
  <c r="O32" i="13"/>
  <c r="N32" i="13"/>
  <c r="M32" i="13"/>
  <c r="L32" i="13"/>
  <c r="K32" i="13"/>
  <c r="J32" i="13"/>
  <c r="O31" i="13"/>
  <c r="N31" i="13"/>
  <c r="M31" i="13"/>
  <c r="L31" i="13"/>
  <c r="K31" i="13"/>
  <c r="J31" i="13"/>
  <c r="O30" i="13"/>
  <c r="N30" i="13"/>
  <c r="M30" i="13"/>
  <c r="L30" i="13"/>
  <c r="K30" i="13"/>
  <c r="J30" i="13"/>
  <c r="O29" i="13"/>
  <c r="N29" i="13"/>
  <c r="M29" i="13"/>
  <c r="L29" i="13"/>
  <c r="K29" i="13"/>
  <c r="J29" i="13"/>
  <c r="O28" i="13"/>
  <c r="N28" i="13"/>
  <c r="M28" i="13"/>
  <c r="L28" i="13"/>
  <c r="K28" i="13"/>
  <c r="J28" i="13"/>
  <c r="O27" i="13"/>
  <c r="N27" i="13"/>
  <c r="M27" i="13"/>
  <c r="L27" i="13"/>
  <c r="K27" i="13"/>
  <c r="J27" i="13"/>
  <c r="O26" i="13"/>
  <c r="N26" i="13"/>
  <c r="M26" i="13"/>
  <c r="L26" i="13"/>
  <c r="K26" i="13"/>
  <c r="J26" i="13"/>
  <c r="O25" i="13"/>
  <c r="N25" i="13"/>
  <c r="M25" i="13"/>
  <c r="L25" i="13"/>
  <c r="K25" i="13"/>
  <c r="J25" i="13"/>
  <c r="N41" i="12"/>
  <c r="M41" i="12"/>
  <c r="L41" i="12"/>
  <c r="K41" i="12"/>
  <c r="J41" i="12"/>
  <c r="O40" i="12"/>
  <c r="N40" i="12"/>
  <c r="M40" i="12"/>
  <c r="L40" i="12"/>
  <c r="K40" i="12"/>
  <c r="J40" i="12"/>
  <c r="O39" i="12"/>
  <c r="N39" i="12"/>
  <c r="M39" i="12"/>
  <c r="L39" i="12"/>
  <c r="K39" i="12"/>
  <c r="J39" i="12"/>
  <c r="O38" i="12"/>
  <c r="N38" i="12"/>
  <c r="M38" i="12"/>
  <c r="L38" i="12"/>
  <c r="K38" i="12"/>
  <c r="J38" i="12"/>
  <c r="O37" i="12"/>
  <c r="N37" i="12"/>
  <c r="M37" i="12"/>
  <c r="L37" i="12"/>
  <c r="K37" i="12"/>
  <c r="J37" i="12"/>
  <c r="O36" i="12"/>
  <c r="N36" i="12"/>
  <c r="M36" i="12"/>
  <c r="L36" i="12"/>
  <c r="K36" i="12"/>
  <c r="J36" i="12"/>
  <c r="O35" i="12"/>
  <c r="N35" i="12"/>
  <c r="M35" i="12"/>
  <c r="L35" i="12"/>
  <c r="K35" i="12"/>
  <c r="J35" i="12"/>
  <c r="O34" i="12"/>
  <c r="N34" i="12"/>
  <c r="M34" i="12"/>
  <c r="L34" i="12"/>
  <c r="K34" i="12"/>
  <c r="J34" i="12"/>
  <c r="O33" i="12"/>
  <c r="N33" i="12"/>
  <c r="M33" i="12"/>
  <c r="L33" i="12"/>
  <c r="K33" i="12"/>
  <c r="J33" i="12"/>
  <c r="O32" i="12"/>
  <c r="N32" i="12"/>
  <c r="M32" i="12"/>
  <c r="L32" i="12"/>
  <c r="K32" i="12"/>
  <c r="J32" i="12"/>
  <c r="O31" i="12"/>
  <c r="N31" i="12"/>
  <c r="M31" i="12"/>
  <c r="L31" i="12"/>
  <c r="K31" i="12"/>
  <c r="J31" i="12"/>
  <c r="O30" i="12"/>
  <c r="N30" i="12"/>
  <c r="M30" i="12"/>
  <c r="L30" i="12"/>
  <c r="K30" i="12"/>
  <c r="J30" i="12"/>
  <c r="O29" i="12"/>
  <c r="N29" i="12"/>
  <c r="M29" i="12"/>
  <c r="L29" i="12"/>
  <c r="K29" i="12"/>
  <c r="J29" i="12"/>
  <c r="O28" i="12"/>
  <c r="N28" i="12"/>
  <c r="M28" i="12"/>
  <c r="L28" i="12"/>
  <c r="K28" i="12"/>
  <c r="J28" i="12"/>
  <c r="O27" i="12"/>
  <c r="N27" i="12"/>
  <c r="M27" i="12"/>
  <c r="L27" i="12"/>
  <c r="K27" i="12"/>
  <c r="J27" i="12"/>
  <c r="O26" i="12"/>
  <c r="N26" i="12"/>
  <c r="M26" i="12"/>
  <c r="L26" i="12"/>
  <c r="K26" i="12"/>
  <c r="J26" i="12"/>
  <c r="N25" i="12"/>
  <c r="M25" i="12"/>
  <c r="L25" i="12"/>
  <c r="K25" i="12"/>
  <c r="J25" i="12"/>
  <c r="M41" i="11"/>
  <c r="N40" i="11"/>
  <c r="M40" i="11"/>
  <c r="N39" i="11"/>
  <c r="M39" i="11"/>
  <c r="N38" i="11"/>
  <c r="M38" i="11"/>
  <c r="N37" i="11"/>
  <c r="M37" i="11"/>
  <c r="N36" i="11"/>
  <c r="M36" i="11"/>
  <c r="N35" i="11"/>
  <c r="M35" i="11"/>
  <c r="N34" i="11"/>
  <c r="M34" i="11"/>
  <c r="N33" i="11"/>
  <c r="M33" i="11"/>
  <c r="N32" i="11"/>
  <c r="M32" i="11"/>
  <c r="N31" i="11"/>
  <c r="M31" i="11"/>
  <c r="N30" i="11"/>
  <c r="M30" i="11"/>
  <c r="N29" i="11"/>
  <c r="M29" i="11"/>
  <c r="N28" i="11"/>
  <c r="M28" i="11"/>
  <c r="N27" i="11"/>
  <c r="M27" i="11"/>
  <c r="N26" i="11"/>
  <c r="M26" i="11"/>
  <c r="M25" i="11"/>
  <c r="X89" i="30"/>
  <c r="W89" i="30"/>
  <c r="V89" i="30"/>
  <c r="U89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X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B88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B87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B86" i="30"/>
  <c r="X85" i="30"/>
  <c r="W85" i="30"/>
  <c r="V85" i="30"/>
  <c r="U85" i="30"/>
  <c r="T85" i="30"/>
  <c r="S85" i="30"/>
  <c r="R85" i="30"/>
  <c r="Q85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B85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X83" i="30"/>
  <c r="W83" i="30"/>
  <c r="V83" i="30"/>
  <c r="U83" i="30"/>
  <c r="T83" i="30"/>
  <c r="S83" i="30"/>
  <c r="R83" i="30"/>
  <c r="Q83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83" i="30"/>
  <c r="X82" i="30"/>
  <c r="W82" i="30"/>
  <c r="V82" i="30"/>
  <c r="U82" i="30"/>
  <c r="T82" i="30"/>
  <c r="S82" i="30"/>
  <c r="R82" i="30"/>
  <c r="Q82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X81" i="30"/>
  <c r="W81" i="30"/>
  <c r="V81" i="30"/>
  <c r="U81" i="30"/>
  <c r="T81" i="30"/>
  <c r="S81" i="30"/>
  <c r="R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B81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B80" i="30"/>
  <c r="X79" i="30"/>
  <c r="W79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X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B78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B77" i="30"/>
  <c r="X76" i="30"/>
  <c r="W76" i="30"/>
  <c r="V76" i="30"/>
  <c r="U76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B76" i="30"/>
  <c r="X75" i="30"/>
  <c r="W75" i="30"/>
  <c r="V75" i="30"/>
  <c r="U75" i="30"/>
  <c r="T75" i="30"/>
  <c r="S75" i="30"/>
  <c r="R75" i="30"/>
  <c r="Q75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B75" i="30"/>
  <c r="X74" i="30"/>
  <c r="W74" i="30"/>
  <c r="V74" i="30"/>
  <c r="U74" i="30"/>
  <c r="T74" i="30"/>
  <c r="S74" i="30"/>
  <c r="R74" i="30"/>
  <c r="Q74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B74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B73" i="30"/>
  <c r="Z68" i="30"/>
  <c r="Z67" i="30"/>
  <c r="Z65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Z63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B62" i="30"/>
  <c r="Z61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B60" i="30"/>
  <c r="Z59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Z57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B56" i="30"/>
  <c r="Z55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B54" i="30"/>
  <c r="Z53" i="30"/>
  <c r="Z51" i="30"/>
  <c r="Z50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Z48" i="30"/>
  <c r="Z47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Z45" i="30"/>
  <c r="Z44" i="30"/>
  <c r="Z43" i="30"/>
  <c r="Z42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Z40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Z38" i="30"/>
  <c r="Z37" i="30"/>
  <c r="Z36" i="30"/>
  <c r="Z35" i="30"/>
  <c r="Z34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Z32" i="30"/>
  <c r="Z31" i="30"/>
  <c r="Z30" i="30"/>
  <c r="Z29" i="30"/>
  <c r="Z28" i="30"/>
  <c r="Z27" i="30"/>
  <c r="Z26" i="30"/>
  <c r="Z25" i="30"/>
  <c r="Z24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Z22" i="30"/>
  <c r="Z21" i="30"/>
  <c r="Z20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Z18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Z16" i="30"/>
  <c r="Z15" i="30"/>
  <c r="Z14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Z12" i="30"/>
  <c r="Z11" i="30"/>
  <c r="Z10" i="30"/>
  <c r="Z9" i="30"/>
  <c r="Z8" i="30"/>
  <c r="Z7" i="30"/>
  <c r="Z6" i="30"/>
  <c r="Z5" i="30"/>
  <c r="Z4" i="30"/>
  <c r="Y4" i="30"/>
  <c r="X4" i="30"/>
  <c r="W4" i="30"/>
  <c r="V4" i="30"/>
  <c r="U4" i="30"/>
  <c r="T4" i="30"/>
  <c r="S4" i="30"/>
  <c r="R4" i="30"/>
  <c r="Q4" i="30"/>
  <c r="P4" i="30"/>
  <c r="O4" i="30"/>
  <c r="N4" i="30"/>
  <c r="M4" i="30"/>
  <c r="L4" i="30"/>
  <c r="K4" i="30"/>
  <c r="J4" i="30"/>
  <c r="I4" i="30"/>
  <c r="H4" i="30"/>
  <c r="G4" i="30"/>
  <c r="F4" i="30"/>
  <c r="E4" i="30"/>
  <c r="D4" i="30"/>
  <c r="C4" i="30"/>
  <c r="B4" i="30"/>
  <c r="B76" i="31"/>
  <c r="X75" i="31"/>
  <c r="W75" i="31"/>
  <c r="V75" i="31"/>
  <c r="U75" i="31"/>
  <c r="T75" i="31"/>
  <c r="S75" i="31"/>
  <c r="R75" i="31"/>
  <c r="Q75" i="31"/>
  <c r="P75" i="31"/>
  <c r="O75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X74" i="31"/>
  <c r="W74" i="31"/>
  <c r="V74" i="31"/>
  <c r="U74" i="31"/>
  <c r="T74" i="31"/>
  <c r="S74" i="31"/>
  <c r="R74" i="31"/>
  <c r="Q74" i="31"/>
  <c r="P74" i="31"/>
  <c r="O74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X73" i="31"/>
  <c r="W73" i="31"/>
  <c r="V73" i="31"/>
  <c r="U73" i="31"/>
  <c r="T73" i="31"/>
  <c r="S73" i="31"/>
  <c r="R73" i="31"/>
  <c r="Q73" i="31"/>
  <c r="P73" i="31"/>
  <c r="O73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X72" i="31"/>
  <c r="W72" i="31"/>
  <c r="V72" i="31"/>
  <c r="U72" i="31"/>
  <c r="T72" i="31"/>
  <c r="S72" i="31"/>
  <c r="R72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X71" i="31"/>
  <c r="W71" i="31"/>
  <c r="V71" i="31"/>
  <c r="U71" i="31"/>
  <c r="T71" i="31"/>
  <c r="S71" i="31"/>
  <c r="R71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B70" i="31"/>
  <c r="Z65" i="31"/>
  <c r="B65" i="31"/>
  <c r="Z64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B63" i="31"/>
  <c r="Z62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B61" i="31"/>
  <c r="Z60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Z58" i="31"/>
  <c r="Z57" i="31"/>
  <c r="Z56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Z54" i="31"/>
  <c r="Z53" i="31"/>
  <c r="Z52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Z50" i="31"/>
  <c r="Z49" i="31"/>
  <c r="Z48" i="31"/>
  <c r="Z47" i="31"/>
  <c r="Z46" i="31"/>
  <c r="Z45" i="31"/>
  <c r="Z44" i="31"/>
  <c r="X44" i="31"/>
  <c r="AD44" i="31" s="1"/>
  <c r="W44" i="31"/>
  <c r="W70" i="31" s="1"/>
  <c r="V44" i="31"/>
  <c r="V65" i="31" s="1"/>
  <c r="V76" i="31" s="1"/>
  <c r="U44" i="31"/>
  <c r="T44" i="31"/>
  <c r="T65" i="31" s="1"/>
  <c r="T76" i="31" s="1"/>
  <c r="S44" i="31"/>
  <c r="S70" i="31" s="1"/>
  <c r="R44" i="31"/>
  <c r="R65" i="31" s="1"/>
  <c r="R76" i="31" s="1"/>
  <c r="Q44" i="31"/>
  <c r="Q65" i="31" s="1"/>
  <c r="Q76" i="31" s="1"/>
  <c r="P44" i="31"/>
  <c r="P65" i="31" s="1"/>
  <c r="P76" i="31" s="1"/>
  <c r="O44" i="31"/>
  <c r="O70" i="31" s="1"/>
  <c r="N44" i="31"/>
  <c r="N65" i="31" s="1"/>
  <c r="N76" i="31" s="1"/>
  <c r="M44" i="31"/>
  <c r="M65" i="31" s="1"/>
  <c r="M76" i="31" s="1"/>
  <c r="L44" i="31"/>
  <c r="L65" i="31" s="1"/>
  <c r="L76" i="31" s="1"/>
  <c r="K44" i="31"/>
  <c r="K70" i="31" s="1"/>
  <c r="J44" i="31"/>
  <c r="J65" i="31" s="1"/>
  <c r="J76" i="31" s="1"/>
  <c r="I44" i="31"/>
  <c r="I65" i="31" s="1"/>
  <c r="I76" i="31" s="1"/>
  <c r="H44" i="31"/>
  <c r="H65" i="31" s="1"/>
  <c r="H76" i="31" s="1"/>
  <c r="G44" i="31"/>
  <c r="G70" i="31" s="1"/>
  <c r="F44" i="31"/>
  <c r="F65" i="31" s="1"/>
  <c r="F76" i="31" s="1"/>
  <c r="E44" i="31"/>
  <c r="E65" i="31" s="1"/>
  <c r="E76" i="31" s="1"/>
  <c r="D44" i="31"/>
  <c r="D65" i="31" s="1"/>
  <c r="D76" i="31" s="1"/>
  <c r="C44" i="31"/>
  <c r="B44" i="31"/>
  <c r="X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X36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X34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X32" i="31"/>
  <c r="W32" i="31"/>
  <c r="V32" i="31"/>
  <c r="U32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V38" i="31"/>
  <c r="X27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Z26" i="31"/>
  <c r="Y25" i="31"/>
  <c r="X25" i="31"/>
  <c r="W25" i="31"/>
  <c r="V25" i="31"/>
  <c r="U25" i="31"/>
  <c r="T25" i="31"/>
  <c r="S25" i="31"/>
  <c r="R2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Y23" i="31"/>
  <c r="X23" i="31"/>
  <c r="W23" i="31"/>
  <c r="V23" i="31"/>
  <c r="U23" i="31"/>
  <c r="T23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Y21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Y17" i="31"/>
  <c r="X17" i="31"/>
  <c r="W17" i="31"/>
  <c r="V17" i="31"/>
  <c r="U17" i="31"/>
  <c r="T17" i="31"/>
  <c r="S17" i="31"/>
  <c r="R17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Y13" i="31"/>
  <c r="X13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Z12" i="31"/>
  <c r="Z11" i="31"/>
  <c r="Z10" i="31"/>
  <c r="Z9" i="31"/>
  <c r="Z8" i="31"/>
  <c r="Z7" i="31"/>
  <c r="Z6" i="31"/>
  <c r="Z5" i="31"/>
  <c r="X5" i="31"/>
  <c r="W5" i="31"/>
  <c r="V5" i="31"/>
  <c r="U5" i="31"/>
  <c r="T5" i="31"/>
  <c r="S5" i="31"/>
  <c r="R5" i="31"/>
  <c r="Q5" i="31"/>
  <c r="P5" i="31"/>
  <c r="O5" i="31"/>
  <c r="N5" i="31"/>
  <c r="M5" i="31"/>
  <c r="L5" i="31"/>
  <c r="K5" i="31"/>
  <c r="J5" i="31"/>
  <c r="I5" i="31"/>
  <c r="H5" i="31"/>
  <c r="G5" i="31"/>
  <c r="F5" i="31"/>
  <c r="E5" i="31"/>
  <c r="D5" i="31"/>
  <c r="C5" i="31"/>
  <c r="B5" i="31"/>
  <c r="X115" i="27"/>
  <c r="W115" i="27"/>
  <c r="V115" i="27"/>
  <c r="U115" i="27"/>
  <c r="T115" i="27"/>
  <c r="S115" i="27"/>
  <c r="R115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B115" i="27"/>
  <c r="X114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B114" i="27"/>
  <c r="X113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113" i="27"/>
  <c r="X112" i="27"/>
  <c r="W112" i="27"/>
  <c r="V112" i="27"/>
  <c r="U112" i="27"/>
  <c r="T112" i="27"/>
  <c r="S112" i="27"/>
  <c r="R112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B112" i="27"/>
  <c r="X111" i="27"/>
  <c r="W111" i="27"/>
  <c r="V111" i="27"/>
  <c r="U111" i="27"/>
  <c r="T111" i="27"/>
  <c r="S111" i="27"/>
  <c r="R111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B111" i="27"/>
  <c r="X110" i="27"/>
  <c r="W110" i="27"/>
  <c r="V110" i="27"/>
  <c r="U110" i="27"/>
  <c r="T110" i="27"/>
  <c r="S110" i="27"/>
  <c r="R110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B110" i="27"/>
  <c r="X109" i="27"/>
  <c r="W109" i="27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B109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B108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B107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B106" i="27"/>
  <c r="Z101" i="27"/>
  <c r="Y101" i="27"/>
  <c r="X101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B101" i="27"/>
  <c r="Z100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Z98" i="27"/>
  <c r="Z97" i="27"/>
  <c r="Y97" i="27"/>
  <c r="X97" i="27"/>
  <c r="W97" i="27"/>
  <c r="V97" i="27"/>
  <c r="U97" i="27"/>
  <c r="T97" i="27"/>
  <c r="S97" i="27"/>
  <c r="R97" i="27"/>
  <c r="Q97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Z96" i="27"/>
  <c r="Z95" i="27"/>
  <c r="Y95" i="27"/>
  <c r="X95" i="27"/>
  <c r="W95" i="27"/>
  <c r="V95" i="27"/>
  <c r="U95" i="27"/>
  <c r="T95" i="27"/>
  <c r="S95" i="27"/>
  <c r="R95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Z94" i="27"/>
  <c r="Z93" i="27"/>
  <c r="Z92" i="27"/>
  <c r="Z91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Z90" i="27"/>
  <c r="Z89" i="27"/>
  <c r="Z88" i="27"/>
  <c r="Y88" i="27"/>
  <c r="X88" i="27"/>
  <c r="W88" i="27"/>
  <c r="V88" i="27"/>
  <c r="U88" i="27"/>
  <c r="T88" i="27"/>
  <c r="S88" i="27"/>
  <c r="R88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Z87" i="27"/>
  <c r="Z86" i="27"/>
  <c r="Z85" i="27"/>
  <c r="Z84" i="27"/>
  <c r="Z83" i="27"/>
  <c r="Y83" i="27"/>
  <c r="X83" i="27"/>
  <c r="W83" i="27"/>
  <c r="V83" i="27"/>
  <c r="U83" i="27"/>
  <c r="T83" i="27"/>
  <c r="S83" i="27"/>
  <c r="R83" i="27"/>
  <c r="Q83" i="27"/>
  <c r="P83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Z82" i="27"/>
  <c r="Z81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B80" i="27"/>
  <c r="Z79" i="27"/>
  <c r="Z78" i="27"/>
  <c r="Z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Z75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B62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B60" i="27"/>
  <c r="X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Z50" i="27"/>
  <c r="Y50" i="27"/>
  <c r="X50" i="27"/>
  <c r="W50" i="27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Z49" i="27"/>
  <c r="Z47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Z45" i="27"/>
  <c r="Z44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Z43" i="27"/>
  <c r="Z42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Z41" i="27"/>
  <c r="Z39" i="27"/>
  <c r="Z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Z36" i="27"/>
  <c r="Z35" i="27"/>
  <c r="Z34" i="27"/>
  <c r="Y34" i="27"/>
  <c r="X34" i="27"/>
  <c r="W34" i="27"/>
  <c r="V34" i="27"/>
  <c r="U34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B34" i="27"/>
  <c r="Z33" i="27"/>
  <c r="Z32" i="27"/>
  <c r="Z31" i="27"/>
  <c r="Z30" i="27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Z28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Z26" i="27"/>
  <c r="Z25" i="27"/>
  <c r="Z24" i="27"/>
  <c r="Z23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Z21" i="27"/>
  <c r="Z20" i="27"/>
  <c r="Z19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B18" i="27"/>
  <c r="Z17" i="27"/>
  <c r="Z16" i="27"/>
  <c r="Z15" i="27"/>
  <c r="Z14" i="27"/>
  <c r="Y14" i="27"/>
  <c r="X14" i="27"/>
  <c r="W14" i="27"/>
  <c r="V14" i="27"/>
  <c r="U14" i="27"/>
  <c r="T14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B14" i="27"/>
  <c r="Z13" i="27"/>
  <c r="Z12" i="27"/>
  <c r="Y12" i="27"/>
  <c r="X12" i="27"/>
  <c r="W12" i="27"/>
  <c r="V12" i="27"/>
  <c r="U12" i="27"/>
  <c r="T12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Z11" i="27"/>
  <c r="Z10" i="27"/>
  <c r="Z9" i="27"/>
  <c r="Z8" i="27"/>
  <c r="Y8" i="27"/>
  <c r="X8" i="27"/>
  <c r="W8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B8" i="27"/>
  <c r="Z7" i="27"/>
  <c r="Z6" i="27"/>
  <c r="Z5" i="27"/>
  <c r="Y5" i="27"/>
  <c r="X5" i="27"/>
  <c r="W5" i="27"/>
  <c r="V5" i="27"/>
  <c r="U5" i="27"/>
  <c r="T5" i="27"/>
  <c r="S5" i="27"/>
  <c r="R5" i="27"/>
  <c r="Q5" i="27"/>
  <c r="P5" i="27"/>
  <c r="O5" i="27"/>
  <c r="N5" i="27"/>
  <c r="M5" i="27"/>
  <c r="L5" i="27"/>
  <c r="K5" i="27"/>
  <c r="J5" i="27"/>
  <c r="I5" i="27"/>
  <c r="H5" i="27"/>
  <c r="G5" i="27"/>
  <c r="F5" i="27"/>
  <c r="E5" i="27"/>
  <c r="D5" i="27"/>
  <c r="C5" i="27"/>
  <c r="B5" i="27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Z41" i="10"/>
  <c r="Z40" i="10"/>
  <c r="Z39" i="10"/>
  <c r="Z38" i="10"/>
  <c r="Z37" i="10"/>
  <c r="Z36" i="10"/>
  <c r="Z35" i="10"/>
  <c r="Z34" i="10"/>
  <c r="Z33" i="10"/>
  <c r="Z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19" i="10"/>
  <c r="Z18" i="10"/>
  <c r="Z17" i="10"/>
  <c r="Z16" i="10"/>
  <c r="Z15" i="10"/>
  <c r="Z14" i="10"/>
  <c r="Z13" i="10"/>
  <c r="Z12" i="10"/>
  <c r="Z11" i="10"/>
  <c r="Z10" i="10"/>
  <c r="Z9" i="10"/>
  <c r="Z8" i="10"/>
  <c r="Z7" i="10"/>
  <c r="Z6" i="10"/>
  <c r="Z5" i="10"/>
  <c r="Z4" i="10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B139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B138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B137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B135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B134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B133" i="9"/>
  <c r="V132" i="9"/>
  <c r="R132" i="9"/>
  <c r="N132" i="9"/>
  <c r="J132" i="9"/>
  <c r="F132" i="9"/>
  <c r="B132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B131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B129" i="9"/>
  <c r="Z124" i="9"/>
  <c r="Z123" i="9"/>
  <c r="Z122" i="9"/>
  <c r="Z121" i="9"/>
  <c r="Z120" i="9"/>
  <c r="Z119" i="9"/>
  <c r="Z118" i="9"/>
  <c r="Z117" i="9"/>
  <c r="Z116" i="9"/>
  <c r="Z115" i="9"/>
  <c r="Z114" i="9"/>
  <c r="Z113" i="9"/>
  <c r="Z112" i="9"/>
  <c r="Z111" i="9"/>
  <c r="Z110" i="9"/>
  <c r="Z109" i="9"/>
  <c r="Z108" i="9"/>
  <c r="Z107" i="9"/>
  <c r="Z106" i="9"/>
  <c r="Z105" i="9"/>
  <c r="Z104" i="9"/>
  <c r="Z103" i="9"/>
  <c r="Z102" i="9"/>
  <c r="Z101" i="9"/>
  <c r="Z100" i="9"/>
  <c r="Z99" i="9"/>
  <c r="Z98" i="9"/>
  <c r="Z97" i="9"/>
  <c r="Z96" i="9"/>
  <c r="Z95" i="9"/>
  <c r="Z94" i="9"/>
  <c r="Z93" i="9"/>
  <c r="X132" i="9"/>
  <c r="W132" i="9"/>
  <c r="U132" i="9"/>
  <c r="T132" i="9"/>
  <c r="S132" i="9"/>
  <c r="Q132" i="9"/>
  <c r="P132" i="9"/>
  <c r="O132" i="9"/>
  <c r="M132" i="9"/>
  <c r="L132" i="9"/>
  <c r="K132" i="9"/>
  <c r="I132" i="9"/>
  <c r="H132" i="9"/>
  <c r="G132" i="9"/>
  <c r="E132" i="9"/>
  <c r="D132" i="9"/>
  <c r="C132" i="9"/>
  <c r="Z92" i="9"/>
  <c r="Z91" i="9"/>
  <c r="Z90" i="9"/>
  <c r="Z89" i="9"/>
  <c r="Z88" i="9"/>
  <c r="Z87" i="9"/>
  <c r="Z86" i="9"/>
  <c r="Z85" i="9"/>
  <c r="X85" i="9"/>
  <c r="AD85" i="9" s="1"/>
  <c r="W85" i="9"/>
  <c r="W130" i="9" s="1"/>
  <c r="V85" i="9"/>
  <c r="V130" i="9" s="1"/>
  <c r="U85" i="9"/>
  <c r="T85" i="9"/>
  <c r="T130" i="9" s="1"/>
  <c r="S85" i="9"/>
  <c r="S130" i="9" s="1"/>
  <c r="R85" i="9"/>
  <c r="R130" i="9" s="1"/>
  <c r="Q85" i="9"/>
  <c r="Q130" i="9" s="1"/>
  <c r="P85" i="9"/>
  <c r="P130" i="9" s="1"/>
  <c r="O85" i="9"/>
  <c r="O130" i="9" s="1"/>
  <c r="N85" i="9"/>
  <c r="N130" i="9" s="1"/>
  <c r="M85" i="9"/>
  <c r="M130" i="9" s="1"/>
  <c r="L85" i="9"/>
  <c r="L130" i="9" s="1"/>
  <c r="K85" i="9"/>
  <c r="K130" i="9" s="1"/>
  <c r="J85" i="9"/>
  <c r="J130" i="9" s="1"/>
  <c r="I85" i="9"/>
  <c r="I130" i="9" s="1"/>
  <c r="H85" i="9"/>
  <c r="H130" i="9" s="1"/>
  <c r="G85" i="9"/>
  <c r="G130" i="9" s="1"/>
  <c r="F85" i="9"/>
  <c r="F130" i="9" s="1"/>
  <c r="E85" i="9"/>
  <c r="E130" i="9" s="1"/>
  <c r="D85" i="9"/>
  <c r="D130" i="9" s="1"/>
  <c r="C85" i="9"/>
  <c r="C130" i="9" s="1"/>
  <c r="B85" i="9"/>
  <c r="Z84" i="9"/>
  <c r="Z83" i="9"/>
  <c r="Z82" i="9"/>
  <c r="Z81" i="9"/>
  <c r="Z80" i="9"/>
  <c r="Z79" i="9"/>
  <c r="Z78" i="9"/>
  <c r="Z77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B71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B70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B69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B67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B66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B65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B63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B61" i="9"/>
  <c r="Z56" i="9"/>
  <c r="Z55" i="9"/>
  <c r="Z54" i="9"/>
  <c r="Z53" i="9"/>
  <c r="Z52" i="9"/>
  <c r="Z51" i="9"/>
  <c r="Z50" i="9"/>
  <c r="Z49" i="9"/>
  <c r="Z48" i="9"/>
  <c r="Z47" i="9"/>
  <c r="Z46" i="9"/>
  <c r="Z45" i="9"/>
  <c r="Z44" i="9"/>
  <c r="Z43" i="9"/>
  <c r="Z42" i="9"/>
  <c r="Z41" i="9"/>
  <c r="Z40" i="9"/>
  <c r="Z39" i="9"/>
  <c r="Z38" i="9"/>
  <c r="Z37" i="9"/>
  <c r="Z36" i="9"/>
  <c r="Z35" i="9"/>
  <c r="Z34" i="9"/>
  <c r="Z33" i="9"/>
  <c r="Z32" i="9"/>
  <c r="Z31" i="9"/>
  <c r="Z30" i="9"/>
  <c r="Z29" i="9"/>
  <c r="Z28" i="9"/>
  <c r="Z27" i="9"/>
  <c r="Z26" i="9"/>
  <c r="Z25" i="9"/>
  <c r="Z23" i="9"/>
  <c r="Y22" i="9"/>
  <c r="Z22" i="9" s="1"/>
  <c r="X22" i="9"/>
  <c r="AD22" i="9" s="1"/>
  <c r="AD56" i="9" s="1"/>
  <c r="W22" i="9"/>
  <c r="W64" i="9" s="1"/>
  <c r="V22" i="9"/>
  <c r="U22" i="9"/>
  <c r="U64" i="9" s="1"/>
  <c r="T22" i="9"/>
  <c r="T64" i="9" s="1"/>
  <c r="S22" i="9"/>
  <c r="S64" i="9" s="1"/>
  <c r="R22" i="9"/>
  <c r="Q22" i="9"/>
  <c r="Q64" i="9" s="1"/>
  <c r="P22" i="9"/>
  <c r="P64" i="9" s="1"/>
  <c r="O22" i="9"/>
  <c r="O64" i="9" s="1"/>
  <c r="N22" i="9"/>
  <c r="M22" i="9"/>
  <c r="M64" i="9" s="1"/>
  <c r="L22" i="9"/>
  <c r="L64" i="9" s="1"/>
  <c r="K22" i="9"/>
  <c r="K64" i="9" s="1"/>
  <c r="J22" i="9"/>
  <c r="I22" i="9"/>
  <c r="I64" i="9" s="1"/>
  <c r="H22" i="9"/>
  <c r="H64" i="9" s="1"/>
  <c r="G22" i="9"/>
  <c r="G64" i="9" s="1"/>
  <c r="F22" i="9"/>
  <c r="E22" i="9"/>
  <c r="E64" i="9" s="1"/>
  <c r="D22" i="9"/>
  <c r="D64" i="9" s="1"/>
  <c r="C22" i="9"/>
  <c r="C64" i="9" s="1"/>
  <c r="B22" i="9"/>
  <c r="Z21" i="9"/>
  <c r="Z20" i="9"/>
  <c r="Z19" i="9"/>
  <c r="Z18" i="9"/>
  <c r="Z17" i="9"/>
  <c r="Z16" i="9"/>
  <c r="Z15" i="9"/>
  <c r="Z14" i="9"/>
  <c r="X14" i="9"/>
  <c r="AD14" i="9" s="1"/>
  <c r="W14" i="9"/>
  <c r="W62" i="9" s="1"/>
  <c r="V14" i="9"/>
  <c r="V62" i="9" s="1"/>
  <c r="U14" i="9"/>
  <c r="U62" i="9" s="1"/>
  <c r="T14" i="9"/>
  <c r="S14" i="9"/>
  <c r="S62" i="9" s="1"/>
  <c r="R14" i="9"/>
  <c r="R62" i="9" s="1"/>
  <c r="Q14" i="9"/>
  <c r="Q62" i="9" s="1"/>
  <c r="P14" i="9"/>
  <c r="P62" i="9" s="1"/>
  <c r="O14" i="9"/>
  <c r="O62" i="9" s="1"/>
  <c r="N14" i="9"/>
  <c r="N62" i="9" s="1"/>
  <c r="M14" i="9"/>
  <c r="M62" i="9" s="1"/>
  <c r="L14" i="9"/>
  <c r="L62" i="9" s="1"/>
  <c r="K14" i="9"/>
  <c r="K62" i="9" s="1"/>
  <c r="J14" i="9"/>
  <c r="J62" i="9" s="1"/>
  <c r="I14" i="9"/>
  <c r="I62" i="9" s="1"/>
  <c r="H14" i="9"/>
  <c r="H62" i="9" s="1"/>
  <c r="G14" i="9"/>
  <c r="G62" i="9" s="1"/>
  <c r="F14" i="9"/>
  <c r="F62" i="9" s="1"/>
  <c r="E14" i="9"/>
  <c r="E62" i="9" s="1"/>
  <c r="D14" i="9"/>
  <c r="D62" i="9" s="1"/>
  <c r="C14" i="9"/>
  <c r="C62" i="9" s="1"/>
  <c r="B14" i="9"/>
  <c r="Z13" i="9"/>
  <c r="Z12" i="9"/>
  <c r="Z11" i="9"/>
  <c r="Z10" i="9"/>
  <c r="Z9" i="9"/>
  <c r="Z8" i="9"/>
  <c r="Z7" i="9"/>
  <c r="Z6" i="9"/>
  <c r="Z5" i="9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Z129" i="8"/>
  <c r="Z128" i="8"/>
  <c r="Z127" i="8"/>
  <c r="Z126" i="8"/>
  <c r="Z125" i="8"/>
  <c r="Z124" i="8"/>
  <c r="Z123" i="8"/>
  <c r="Z122" i="8"/>
  <c r="Z121" i="8"/>
  <c r="Z120" i="8"/>
  <c r="Z119" i="8"/>
  <c r="Z118" i="8"/>
  <c r="Z117" i="8"/>
  <c r="Z116" i="8"/>
  <c r="Z115" i="8"/>
  <c r="Z114" i="8"/>
  <c r="Z113" i="8"/>
  <c r="Z112" i="8"/>
  <c r="Z111" i="8"/>
  <c r="Z110" i="8"/>
  <c r="Z109" i="8"/>
  <c r="Z108" i="8"/>
  <c r="Z107" i="8"/>
  <c r="Z106" i="8"/>
  <c r="Z105" i="8"/>
  <c r="Z104" i="8"/>
  <c r="Z103" i="8"/>
  <c r="Z102" i="8"/>
  <c r="Z101" i="8"/>
  <c r="Z100" i="8"/>
  <c r="Z99" i="8"/>
  <c r="Z98" i="8"/>
  <c r="Z97" i="8"/>
  <c r="Z96" i="8"/>
  <c r="Z95" i="8"/>
  <c r="Z94" i="8"/>
  <c r="Z93" i="8"/>
  <c r="Z92" i="8"/>
  <c r="Z91" i="8"/>
  <c r="Z90" i="8"/>
  <c r="Z89" i="8"/>
  <c r="Z88" i="8"/>
  <c r="Z87" i="8"/>
  <c r="Z86" i="8"/>
  <c r="Z85" i="8"/>
  <c r="Z84" i="8"/>
  <c r="Z83" i="8"/>
  <c r="Z82" i="8"/>
  <c r="Z81" i="8"/>
  <c r="Z80" i="8"/>
  <c r="AD56" i="8"/>
  <c r="AC56" i="8"/>
  <c r="AB56" i="8"/>
  <c r="Y56" i="8"/>
  <c r="AD55" i="8"/>
  <c r="AC55" i="8"/>
  <c r="AB55" i="8"/>
  <c r="Y55" i="8"/>
  <c r="AD54" i="8"/>
  <c r="AC54" i="8"/>
  <c r="AB54" i="8"/>
  <c r="Y54" i="8"/>
  <c r="AD53" i="8"/>
  <c r="AC53" i="8"/>
  <c r="AB53" i="8"/>
  <c r="Y53" i="8"/>
  <c r="Q71" i="8" s="1"/>
  <c r="AD52" i="8"/>
  <c r="AC52" i="8"/>
  <c r="AB52" i="8"/>
  <c r="Y52" i="8"/>
  <c r="AD51" i="8"/>
  <c r="AC51" i="8"/>
  <c r="AB51" i="8"/>
  <c r="Y51" i="8"/>
  <c r="X70" i="8" s="1"/>
  <c r="AD50" i="8"/>
  <c r="AC50" i="8"/>
  <c r="AB50" i="8"/>
  <c r="Y50" i="8"/>
  <c r="AD49" i="8"/>
  <c r="AC49" i="8"/>
  <c r="AB49" i="8"/>
  <c r="Y49" i="8"/>
  <c r="AD48" i="8"/>
  <c r="AC48" i="8"/>
  <c r="AB48" i="8"/>
  <c r="Y48" i="8"/>
  <c r="AD47" i="8"/>
  <c r="AC47" i="8"/>
  <c r="AB47" i="8"/>
  <c r="Y47" i="8"/>
  <c r="W69" i="8" s="1"/>
  <c r="AC46" i="8"/>
  <c r="AB46" i="8"/>
  <c r="Y46" i="8"/>
  <c r="AC45" i="8"/>
  <c r="AB45" i="8"/>
  <c r="Y45" i="8"/>
  <c r="AC44" i="8"/>
  <c r="AB44" i="8"/>
  <c r="Y44" i="8"/>
  <c r="T68" i="8" s="1"/>
  <c r="AD43" i="8"/>
  <c r="AC43" i="8"/>
  <c r="AB43" i="8"/>
  <c r="Y43" i="8"/>
  <c r="AD42" i="8"/>
  <c r="AC42" i="8"/>
  <c r="AB42" i="8"/>
  <c r="Y42" i="8"/>
  <c r="AD41" i="8"/>
  <c r="AC41" i="8"/>
  <c r="AB41" i="8"/>
  <c r="Y41" i="8"/>
  <c r="AD40" i="8"/>
  <c r="AC40" i="8"/>
  <c r="AB40" i="8"/>
  <c r="Y40" i="8"/>
  <c r="AD39" i="8"/>
  <c r="AC39" i="8"/>
  <c r="AB39" i="8"/>
  <c r="Y39" i="8"/>
  <c r="AD38" i="8"/>
  <c r="AC38" i="8"/>
  <c r="AB38" i="8"/>
  <c r="Y38" i="8"/>
  <c r="AD37" i="8"/>
  <c r="AC37" i="8"/>
  <c r="AB37" i="8"/>
  <c r="Y37" i="8"/>
  <c r="AD36" i="8"/>
  <c r="AC36" i="8"/>
  <c r="AB36" i="8"/>
  <c r="Y36" i="8"/>
  <c r="AD35" i="8"/>
  <c r="AC35" i="8"/>
  <c r="AB35" i="8"/>
  <c r="Y35" i="8"/>
  <c r="AD34" i="8"/>
  <c r="AC34" i="8"/>
  <c r="AB34" i="8"/>
  <c r="Y34" i="8"/>
  <c r="AD33" i="8"/>
  <c r="AC33" i="8"/>
  <c r="AB33" i="8"/>
  <c r="Y33" i="8"/>
  <c r="AD32" i="8"/>
  <c r="AC32" i="8"/>
  <c r="AB32" i="8"/>
  <c r="Y32" i="8"/>
  <c r="V67" i="8" s="1"/>
  <c r="AD31" i="8"/>
  <c r="AC31" i="8"/>
  <c r="AB31" i="8"/>
  <c r="Y31" i="8"/>
  <c r="AD30" i="8"/>
  <c r="AC30" i="8"/>
  <c r="AB30" i="8"/>
  <c r="Y30" i="8"/>
  <c r="AD29" i="8"/>
  <c r="AC29" i="8"/>
  <c r="AB29" i="8"/>
  <c r="Y29" i="8"/>
  <c r="AD28" i="8"/>
  <c r="AC28" i="8"/>
  <c r="AB28" i="8"/>
  <c r="Y28" i="8"/>
  <c r="AD27" i="8"/>
  <c r="AC27" i="8"/>
  <c r="AB27" i="8"/>
  <c r="Y27" i="8"/>
  <c r="AE26" i="8"/>
  <c r="AD26" i="8"/>
  <c r="AC26" i="8"/>
  <c r="AB26" i="8"/>
  <c r="Y26" i="8"/>
  <c r="U66" i="8" s="1"/>
  <c r="AD25" i="8"/>
  <c r="AC25" i="8"/>
  <c r="AB25" i="8"/>
  <c r="Y25" i="8"/>
  <c r="AD24" i="8"/>
  <c r="AC24" i="8"/>
  <c r="AB24" i="8"/>
  <c r="Y24" i="8"/>
  <c r="AD23" i="8"/>
  <c r="AC23" i="8"/>
  <c r="AB23" i="8"/>
  <c r="Y23" i="8"/>
  <c r="AD22" i="8"/>
  <c r="AC22" i="8"/>
  <c r="AB22" i="8"/>
  <c r="Y22" i="8"/>
  <c r="AE21" i="8"/>
  <c r="AD21" i="8"/>
  <c r="AC21" i="8"/>
  <c r="AB21" i="8"/>
  <c r="Y21" i="8"/>
  <c r="T65" i="8" s="1"/>
  <c r="AD20" i="8"/>
  <c r="AC20" i="8"/>
  <c r="AB20" i="8"/>
  <c r="Y20" i="8"/>
  <c r="AD19" i="8"/>
  <c r="AC19" i="8"/>
  <c r="AB19" i="8"/>
  <c r="Y19" i="8"/>
  <c r="AD18" i="8"/>
  <c r="AC18" i="8"/>
  <c r="AB18" i="8"/>
  <c r="Y18" i="8"/>
  <c r="AD17" i="8"/>
  <c r="AC17" i="8"/>
  <c r="AB17" i="8"/>
  <c r="Y17" i="8"/>
  <c r="L64" i="8" s="1"/>
  <c r="AD16" i="8"/>
  <c r="AC16" i="8"/>
  <c r="AB16" i="8"/>
  <c r="Y16" i="8"/>
  <c r="AD15" i="8"/>
  <c r="AC15" i="8"/>
  <c r="AB15" i="8"/>
  <c r="Y15" i="8"/>
  <c r="AD14" i="8"/>
  <c r="AC14" i="8"/>
  <c r="AB14" i="8"/>
  <c r="Y14" i="8"/>
  <c r="AD13" i="8"/>
  <c r="AC13" i="8"/>
  <c r="AB13" i="8"/>
  <c r="Y13" i="8"/>
  <c r="R63" i="8" s="1"/>
  <c r="AD12" i="8"/>
  <c r="AC12" i="8"/>
  <c r="AB12" i="8"/>
  <c r="Y12" i="8"/>
  <c r="AD11" i="8"/>
  <c r="AC11" i="8"/>
  <c r="AB11" i="8"/>
  <c r="Y11" i="8"/>
  <c r="AD10" i="8"/>
  <c r="AC10" i="8"/>
  <c r="AB10" i="8"/>
  <c r="Y10" i="8"/>
  <c r="AD9" i="8"/>
  <c r="AC9" i="8"/>
  <c r="AB9" i="8"/>
  <c r="Y9" i="8"/>
  <c r="AD8" i="8"/>
  <c r="AC8" i="8"/>
  <c r="AB8" i="8"/>
  <c r="Y8" i="8"/>
  <c r="AD7" i="8"/>
  <c r="AC7" i="8"/>
  <c r="AB7" i="8"/>
  <c r="Y7" i="8"/>
  <c r="AD6" i="8"/>
  <c r="AC6" i="8"/>
  <c r="AB6" i="8"/>
  <c r="Y6" i="8"/>
  <c r="AD5" i="8"/>
  <c r="AC5" i="8"/>
  <c r="AB5" i="8"/>
  <c r="Y5" i="8"/>
  <c r="AD4" i="8"/>
  <c r="AC4" i="8"/>
  <c r="AB4" i="8"/>
  <c r="Y4" i="8"/>
  <c r="I75" i="7"/>
  <c r="H75" i="7"/>
  <c r="G75" i="7"/>
  <c r="F75" i="7"/>
  <c r="I74" i="7"/>
  <c r="H74" i="7"/>
  <c r="G74" i="7"/>
  <c r="F74" i="7"/>
  <c r="I73" i="7"/>
  <c r="H73" i="7"/>
  <c r="G73" i="7"/>
  <c r="F73" i="7"/>
  <c r="I72" i="7"/>
  <c r="H72" i="7"/>
  <c r="G72" i="7"/>
  <c r="F72" i="7"/>
  <c r="I71" i="7"/>
  <c r="H71" i="7"/>
  <c r="G71" i="7"/>
  <c r="F71" i="7"/>
  <c r="C71" i="7"/>
  <c r="I70" i="7"/>
  <c r="H70" i="7"/>
  <c r="G70" i="7"/>
  <c r="F70" i="7"/>
  <c r="I69" i="7"/>
  <c r="H69" i="7"/>
  <c r="G69" i="7"/>
  <c r="F69" i="7"/>
  <c r="C69" i="7"/>
  <c r="I68" i="7"/>
  <c r="H68" i="7"/>
  <c r="G68" i="7"/>
  <c r="F68" i="7"/>
  <c r="I67" i="7"/>
  <c r="H67" i="7"/>
  <c r="G67" i="7"/>
  <c r="F67" i="7"/>
  <c r="C67" i="7"/>
  <c r="I66" i="7"/>
  <c r="H66" i="7"/>
  <c r="G66" i="7"/>
  <c r="F66" i="7"/>
  <c r="I65" i="7"/>
  <c r="H65" i="7"/>
  <c r="G65" i="7"/>
  <c r="F65" i="7"/>
  <c r="C65" i="7"/>
  <c r="I64" i="7"/>
  <c r="H64" i="7"/>
  <c r="G64" i="7"/>
  <c r="F64" i="7"/>
  <c r="I63" i="7"/>
  <c r="H63" i="7"/>
  <c r="G63" i="7"/>
  <c r="F63" i="7"/>
  <c r="C63" i="7"/>
  <c r="I62" i="7"/>
  <c r="H62" i="7"/>
  <c r="G62" i="7"/>
  <c r="F62" i="7"/>
  <c r="I61" i="7"/>
  <c r="H61" i="7"/>
  <c r="G61" i="7"/>
  <c r="F61" i="7"/>
  <c r="I60" i="7"/>
  <c r="H60" i="7"/>
  <c r="G60" i="7"/>
  <c r="F60" i="7"/>
  <c r="I59" i="7"/>
  <c r="H59" i="7"/>
  <c r="G59" i="7"/>
  <c r="F59" i="7"/>
  <c r="I58" i="7"/>
  <c r="H58" i="7"/>
  <c r="G58" i="7"/>
  <c r="F58" i="7"/>
  <c r="C58" i="7"/>
  <c r="I57" i="7"/>
  <c r="H57" i="7"/>
  <c r="G57" i="7"/>
  <c r="F57" i="7"/>
  <c r="I56" i="7"/>
  <c r="H56" i="7"/>
  <c r="G56" i="7"/>
  <c r="F56" i="7"/>
  <c r="I55" i="7"/>
  <c r="H55" i="7"/>
  <c r="G55" i="7"/>
  <c r="F55" i="7"/>
  <c r="I54" i="7"/>
  <c r="H54" i="7"/>
  <c r="G54" i="7"/>
  <c r="F54" i="7"/>
  <c r="I53" i="7"/>
  <c r="H53" i="7"/>
  <c r="G53" i="7"/>
  <c r="F53" i="7"/>
  <c r="C53" i="7"/>
  <c r="I52" i="7"/>
  <c r="H52" i="7"/>
  <c r="G52" i="7"/>
  <c r="F52" i="7"/>
  <c r="I51" i="7"/>
  <c r="H51" i="7"/>
  <c r="G51" i="7"/>
  <c r="F51" i="7"/>
  <c r="I50" i="7"/>
  <c r="H50" i="7"/>
  <c r="G50" i="7"/>
  <c r="F50" i="7"/>
  <c r="C50" i="7"/>
  <c r="I49" i="7"/>
  <c r="H49" i="7"/>
  <c r="G49" i="7"/>
  <c r="F49" i="7"/>
  <c r="I48" i="7"/>
  <c r="H48" i="7"/>
  <c r="G48" i="7"/>
  <c r="F48" i="7"/>
  <c r="I47" i="7"/>
  <c r="H47" i="7"/>
  <c r="G47" i="7"/>
  <c r="F47" i="7"/>
  <c r="I46" i="7"/>
  <c r="H46" i="7"/>
  <c r="G46" i="7"/>
  <c r="F46" i="7"/>
  <c r="I45" i="7"/>
  <c r="H45" i="7"/>
  <c r="G45" i="7"/>
  <c r="F45" i="7"/>
  <c r="C45" i="7"/>
  <c r="I44" i="7"/>
  <c r="H44" i="7"/>
  <c r="G44" i="7"/>
  <c r="F44" i="7"/>
  <c r="I43" i="7"/>
  <c r="H43" i="7"/>
  <c r="G43" i="7"/>
  <c r="F43" i="7"/>
  <c r="C43" i="7"/>
  <c r="I42" i="7"/>
  <c r="H42" i="7"/>
  <c r="G42" i="7"/>
  <c r="F42" i="7"/>
  <c r="I41" i="7"/>
  <c r="H41" i="7"/>
  <c r="G41" i="7"/>
  <c r="F41" i="7"/>
  <c r="I40" i="7"/>
  <c r="H40" i="7"/>
  <c r="G40" i="7"/>
  <c r="F40" i="7"/>
  <c r="I39" i="7"/>
  <c r="H39" i="7"/>
  <c r="G39" i="7"/>
  <c r="F39" i="7"/>
  <c r="I38" i="7"/>
  <c r="H38" i="7"/>
  <c r="G38" i="7"/>
  <c r="F38" i="7"/>
  <c r="I37" i="7"/>
  <c r="H37" i="7"/>
  <c r="G37" i="7"/>
  <c r="F37" i="7"/>
  <c r="C37" i="7"/>
  <c r="I36" i="7"/>
  <c r="H36" i="7"/>
  <c r="G36" i="7"/>
  <c r="F36" i="7"/>
  <c r="I35" i="7"/>
  <c r="H35" i="7"/>
  <c r="G35" i="7"/>
  <c r="F35" i="7"/>
  <c r="I34" i="7"/>
  <c r="H34" i="7"/>
  <c r="G34" i="7"/>
  <c r="F34" i="7"/>
  <c r="I33" i="7"/>
  <c r="H33" i="7"/>
  <c r="G33" i="7"/>
  <c r="F33" i="7"/>
  <c r="I32" i="7"/>
  <c r="H32" i="7"/>
  <c r="G32" i="7"/>
  <c r="F32" i="7"/>
  <c r="I31" i="7"/>
  <c r="H31" i="7"/>
  <c r="G31" i="7"/>
  <c r="F31" i="7"/>
  <c r="I30" i="7"/>
  <c r="H30" i="7"/>
  <c r="G30" i="7"/>
  <c r="F30" i="7"/>
  <c r="I29" i="7"/>
  <c r="H29" i="7"/>
  <c r="G29" i="7"/>
  <c r="F29" i="7"/>
  <c r="I28" i="7"/>
  <c r="H28" i="7"/>
  <c r="G28" i="7"/>
  <c r="F28" i="7"/>
  <c r="I27" i="7"/>
  <c r="H27" i="7"/>
  <c r="G27" i="7"/>
  <c r="F27" i="7"/>
  <c r="C27" i="7"/>
  <c r="I26" i="7"/>
  <c r="H26" i="7"/>
  <c r="G26" i="7"/>
  <c r="F26" i="7"/>
  <c r="I25" i="7"/>
  <c r="H25" i="7"/>
  <c r="G25" i="7"/>
  <c r="F25" i="7"/>
  <c r="I24" i="7"/>
  <c r="H24" i="7"/>
  <c r="G24" i="7"/>
  <c r="F24" i="7"/>
  <c r="I23" i="7"/>
  <c r="H23" i="7"/>
  <c r="G23" i="7"/>
  <c r="F23" i="7"/>
  <c r="C23" i="7"/>
  <c r="I22" i="7"/>
  <c r="H22" i="7"/>
  <c r="G22" i="7"/>
  <c r="F22" i="7"/>
  <c r="I21" i="7"/>
  <c r="H21" i="7"/>
  <c r="G21" i="7"/>
  <c r="F21" i="7"/>
  <c r="C21" i="7"/>
  <c r="I20" i="7"/>
  <c r="H20" i="7"/>
  <c r="G20" i="7"/>
  <c r="F20" i="7"/>
  <c r="I19" i="7"/>
  <c r="H19" i="7"/>
  <c r="G19" i="7"/>
  <c r="F19" i="7"/>
  <c r="I18" i="7"/>
  <c r="H18" i="7"/>
  <c r="G18" i="7"/>
  <c r="F18" i="7"/>
  <c r="I17" i="7"/>
  <c r="H17" i="7"/>
  <c r="G17" i="7"/>
  <c r="F17" i="7"/>
  <c r="C17" i="7"/>
  <c r="I16" i="7"/>
  <c r="H16" i="7"/>
  <c r="G16" i="7"/>
  <c r="F16" i="7"/>
  <c r="I15" i="7"/>
  <c r="H15" i="7"/>
  <c r="G15" i="7"/>
  <c r="F15" i="7"/>
  <c r="I14" i="7"/>
  <c r="H14" i="7"/>
  <c r="G14" i="7"/>
  <c r="F14" i="7"/>
  <c r="I13" i="7"/>
  <c r="H13" i="7"/>
  <c r="G13" i="7"/>
  <c r="F13" i="7"/>
  <c r="I12" i="7"/>
  <c r="H12" i="7"/>
  <c r="G12" i="7"/>
  <c r="F12" i="7"/>
  <c r="I11" i="7"/>
  <c r="H11" i="7"/>
  <c r="G11" i="7"/>
  <c r="F11" i="7"/>
  <c r="I10" i="7"/>
  <c r="H10" i="7"/>
  <c r="G10" i="7"/>
  <c r="F10" i="7"/>
  <c r="I9" i="7"/>
  <c r="H9" i="7"/>
  <c r="G9" i="7"/>
  <c r="F9" i="7"/>
  <c r="I8" i="7"/>
  <c r="H8" i="7"/>
  <c r="G8" i="7"/>
  <c r="F8" i="7"/>
  <c r="C8" i="7"/>
  <c r="I55" i="6"/>
  <c r="H55" i="6"/>
  <c r="G55" i="6"/>
  <c r="F55" i="6"/>
  <c r="I54" i="6"/>
  <c r="H54" i="6"/>
  <c r="G54" i="6"/>
  <c r="F54" i="6"/>
  <c r="I53" i="6"/>
  <c r="H53" i="6"/>
  <c r="G53" i="6"/>
  <c r="F53" i="6"/>
  <c r="I52" i="6"/>
  <c r="H52" i="6"/>
  <c r="G52" i="6"/>
  <c r="F52" i="6"/>
  <c r="I51" i="6"/>
  <c r="H51" i="6"/>
  <c r="G51" i="6"/>
  <c r="F51" i="6"/>
  <c r="I50" i="6"/>
  <c r="H50" i="6"/>
  <c r="G50" i="6"/>
  <c r="F50" i="6"/>
  <c r="I49" i="6"/>
  <c r="H49" i="6"/>
  <c r="G49" i="6"/>
  <c r="F49" i="6"/>
  <c r="I48" i="6"/>
  <c r="H48" i="6"/>
  <c r="G48" i="6"/>
  <c r="F48" i="6"/>
  <c r="I47" i="6"/>
  <c r="H47" i="6"/>
  <c r="G47" i="6"/>
  <c r="F47" i="6"/>
  <c r="I46" i="6"/>
  <c r="H46" i="6"/>
  <c r="G46" i="6"/>
  <c r="F46" i="6"/>
  <c r="I45" i="6"/>
  <c r="H45" i="6"/>
  <c r="G45" i="6"/>
  <c r="F45" i="6"/>
  <c r="I44" i="6"/>
  <c r="H44" i="6"/>
  <c r="G44" i="6"/>
  <c r="F44" i="6"/>
  <c r="I43" i="6"/>
  <c r="H43" i="6"/>
  <c r="G43" i="6"/>
  <c r="F43" i="6"/>
  <c r="I42" i="6"/>
  <c r="H42" i="6"/>
  <c r="G42" i="6"/>
  <c r="F42" i="6"/>
  <c r="I41" i="6"/>
  <c r="H41" i="6"/>
  <c r="G41" i="6"/>
  <c r="F41" i="6"/>
  <c r="I40" i="6"/>
  <c r="H40" i="6"/>
  <c r="G40" i="6"/>
  <c r="F40" i="6"/>
  <c r="I39" i="6"/>
  <c r="H39" i="6"/>
  <c r="G39" i="6"/>
  <c r="F39" i="6"/>
  <c r="I38" i="6"/>
  <c r="H38" i="6"/>
  <c r="G38" i="6"/>
  <c r="F38" i="6"/>
  <c r="I37" i="6"/>
  <c r="H37" i="6"/>
  <c r="G37" i="6"/>
  <c r="F37" i="6"/>
  <c r="I36" i="6"/>
  <c r="H36" i="6"/>
  <c r="G36" i="6"/>
  <c r="F36" i="6"/>
  <c r="I35" i="6"/>
  <c r="H35" i="6"/>
  <c r="G35" i="6"/>
  <c r="F35" i="6"/>
  <c r="I34" i="6"/>
  <c r="H34" i="6"/>
  <c r="G34" i="6"/>
  <c r="F34" i="6"/>
  <c r="I33" i="6"/>
  <c r="H33" i="6"/>
  <c r="G33" i="6"/>
  <c r="F33" i="6"/>
  <c r="I32" i="6"/>
  <c r="H32" i="6"/>
  <c r="G32" i="6"/>
  <c r="F32" i="6"/>
  <c r="I31" i="6"/>
  <c r="H31" i="6"/>
  <c r="G31" i="6"/>
  <c r="F31" i="6"/>
  <c r="I30" i="6"/>
  <c r="H30" i="6"/>
  <c r="G30" i="6"/>
  <c r="F30" i="6"/>
  <c r="I29" i="6"/>
  <c r="H29" i="6"/>
  <c r="G29" i="6"/>
  <c r="F29" i="6"/>
  <c r="I28" i="6"/>
  <c r="H28" i="6"/>
  <c r="G28" i="6"/>
  <c r="F28" i="6"/>
  <c r="I27" i="6"/>
  <c r="H27" i="6"/>
  <c r="G27" i="6"/>
  <c r="F27" i="6"/>
  <c r="I26" i="6"/>
  <c r="H26" i="6"/>
  <c r="G26" i="6"/>
  <c r="F26" i="6"/>
  <c r="I25" i="6"/>
  <c r="H25" i="6"/>
  <c r="G25" i="6"/>
  <c r="F25" i="6"/>
  <c r="I24" i="6"/>
  <c r="H24" i="6"/>
  <c r="G24" i="6"/>
  <c r="F24" i="6"/>
  <c r="I23" i="6"/>
  <c r="H23" i="6"/>
  <c r="G23" i="6"/>
  <c r="F23" i="6"/>
  <c r="I22" i="6"/>
  <c r="H22" i="6"/>
  <c r="G22" i="6"/>
  <c r="F22" i="6"/>
  <c r="I21" i="6"/>
  <c r="H21" i="6"/>
  <c r="G21" i="6"/>
  <c r="F21" i="6"/>
  <c r="I20" i="6"/>
  <c r="H20" i="6"/>
  <c r="G20" i="6"/>
  <c r="F20" i="6"/>
  <c r="I19" i="6"/>
  <c r="H19" i="6"/>
  <c r="G19" i="6"/>
  <c r="F19" i="6"/>
  <c r="I18" i="6"/>
  <c r="H18" i="6"/>
  <c r="G18" i="6"/>
  <c r="F18" i="6"/>
  <c r="I17" i="6"/>
  <c r="H17" i="6"/>
  <c r="G17" i="6"/>
  <c r="F17" i="6"/>
  <c r="I16" i="6"/>
  <c r="H16" i="6"/>
  <c r="G16" i="6"/>
  <c r="F16" i="6"/>
  <c r="I15" i="6"/>
  <c r="H15" i="6"/>
  <c r="G15" i="6"/>
  <c r="F15" i="6"/>
  <c r="I14" i="6"/>
  <c r="H14" i="6"/>
  <c r="G14" i="6"/>
  <c r="F14" i="6"/>
  <c r="I13" i="6"/>
  <c r="H13" i="6"/>
  <c r="G13" i="6"/>
  <c r="F13" i="6"/>
  <c r="I12" i="6"/>
  <c r="H12" i="6"/>
  <c r="G12" i="6"/>
  <c r="F12" i="6"/>
  <c r="I11" i="6"/>
  <c r="H11" i="6"/>
  <c r="G11" i="6"/>
  <c r="F11" i="6"/>
  <c r="I10" i="6"/>
  <c r="H10" i="6"/>
  <c r="G10" i="6"/>
  <c r="F10" i="6"/>
  <c r="I9" i="6"/>
  <c r="H9" i="6"/>
  <c r="G9" i="6"/>
  <c r="F9" i="6"/>
  <c r="I8" i="6"/>
  <c r="H8" i="6"/>
  <c r="G8" i="6"/>
  <c r="F8" i="6"/>
  <c r="F62" i="5"/>
  <c r="I61" i="5"/>
  <c r="H61" i="5"/>
  <c r="G61" i="5"/>
  <c r="F61" i="5"/>
  <c r="G60" i="5"/>
  <c r="C60" i="5"/>
  <c r="B60" i="5"/>
  <c r="Q45" i="5" s="1"/>
  <c r="I59" i="5"/>
  <c r="H59" i="5"/>
  <c r="G59" i="5"/>
  <c r="F59" i="5"/>
  <c r="F58" i="5"/>
  <c r="C58" i="5"/>
  <c r="B58" i="5"/>
  <c r="Q43" i="5" s="1"/>
  <c r="I57" i="5"/>
  <c r="H57" i="5"/>
  <c r="G57" i="5"/>
  <c r="F57" i="5"/>
  <c r="G56" i="5"/>
  <c r="F56" i="5"/>
  <c r="C56" i="5"/>
  <c r="I56" i="5" s="1"/>
  <c r="I55" i="5"/>
  <c r="H55" i="5"/>
  <c r="G55" i="5"/>
  <c r="F55" i="5"/>
  <c r="I54" i="5"/>
  <c r="H54" i="5"/>
  <c r="G54" i="5"/>
  <c r="F54" i="5"/>
  <c r="I53" i="5"/>
  <c r="H53" i="5"/>
  <c r="G53" i="5"/>
  <c r="F53" i="5"/>
  <c r="C52" i="5"/>
  <c r="B52" i="5"/>
  <c r="Q42" i="5" s="1"/>
  <c r="I51" i="5"/>
  <c r="H51" i="5"/>
  <c r="G51" i="5"/>
  <c r="F51" i="5"/>
  <c r="I50" i="5"/>
  <c r="H50" i="5"/>
  <c r="G50" i="5"/>
  <c r="F50" i="5"/>
  <c r="I49" i="5"/>
  <c r="H49" i="5"/>
  <c r="G49" i="5"/>
  <c r="F49" i="5"/>
  <c r="G48" i="5"/>
  <c r="F48" i="5"/>
  <c r="C48" i="5"/>
  <c r="B48" i="5"/>
  <c r="Q41" i="5" s="1"/>
  <c r="I47" i="5"/>
  <c r="H47" i="5"/>
  <c r="G47" i="5"/>
  <c r="F47" i="5"/>
  <c r="I46" i="5"/>
  <c r="H46" i="5"/>
  <c r="G46" i="5"/>
  <c r="F46" i="5"/>
  <c r="I45" i="5"/>
  <c r="H45" i="5"/>
  <c r="G45" i="5"/>
  <c r="F45" i="5"/>
  <c r="I44" i="5"/>
  <c r="H44" i="5"/>
  <c r="G44" i="5"/>
  <c r="F44" i="5"/>
  <c r="I43" i="5"/>
  <c r="H43" i="5"/>
  <c r="G43" i="5"/>
  <c r="F43" i="5"/>
  <c r="I42" i="5"/>
  <c r="H42" i="5"/>
  <c r="G42" i="5"/>
  <c r="F42" i="5"/>
  <c r="C41" i="5"/>
  <c r="B41" i="5"/>
  <c r="Q44" i="5" s="1"/>
  <c r="F35" i="5"/>
  <c r="I34" i="5"/>
  <c r="H34" i="5"/>
  <c r="G34" i="5"/>
  <c r="F34" i="5"/>
  <c r="G33" i="5"/>
  <c r="C33" i="5"/>
  <c r="H33" i="5" s="1"/>
  <c r="B33" i="5"/>
  <c r="I32" i="5"/>
  <c r="H32" i="5"/>
  <c r="G32" i="5"/>
  <c r="F32" i="5"/>
  <c r="F31" i="5"/>
  <c r="C31" i="5"/>
  <c r="B31" i="5"/>
  <c r="I30" i="5"/>
  <c r="H30" i="5"/>
  <c r="G30" i="5"/>
  <c r="F30" i="5"/>
  <c r="G29" i="5"/>
  <c r="C29" i="5"/>
  <c r="D120" i="33" s="1"/>
  <c r="D48" i="33" s="1"/>
  <c r="B29" i="5"/>
  <c r="C120" i="33" s="1"/>
  <c r="C48" i="33" s="1"/>
  <c r="I28" i="5"/>
  <c r="H28" i="5"/>
  <c r="G28" i="5"/>
  <c r="F28" i="5"/>
  <c r="I27" i="5"/>
  <c r="H27" i="5"/>
  <c r="G27" i="5"/>
  <c r="F27" i="5"/>
  <c r="I26" i="5"/>
  <c r="H26" i="5"/>
  <c r="G26" i="5"/>
  <c r="F26" i="5"/>
  <c r="F25" i="5"/>
  <c r="C25" i="5"/>
  <c r="B25" i="5"/>
  <c r="I24" i="5"/>
  <c r="H24" i="5"/>
  <c r="G24" i="5"/>
  <c r="F24" i="5"/>
  <c r="I23" i="5"/>
  <c r="H23" i="5"/>
  <c r="G23" i="5"/>
  <c r="F23" i="5"/>
  <c r="I22" i="5"/>
  <c r="H22" i="5"/>
  <c r="G22" i="5"/>
  <c r="F22" i="5"/>
  <c r="G21" i="5"/>
  <c r="C21" i="5"/>
  <c r="H21" i="5" s="1"/>
  <c r="B21" i="5"/>
  <c r="I20" i="5"/>
  <c r="H20" i="5"/>
  <c r="G20" i="5"/>
  <c r="F20" i="5"/>
  <c r="I19" i="5"/>
  <c r="H19" i="5"/>
  <c r="G19" i="5"/>
  <c r="F19" i="5"/>
  <c r="G18" i="5"/>
  <c r="B18" i="5"/>
  <c r="C102" i="33" s="1"/>
  <c r="C30" i="33" s="1"/>
  <c r="I17" i="5"/>
  <c r="H17" i="5"/>
  <c r="G17" i="5"/>
  <c r="F17" i="5"/>
  <c r="I16" i="5"/>
  <c r="H16" i="5"/>
  <c r="G16" i="5"/>
  <c r="F16" i="5"/>
  <c r="I15" i="5"/>
  <c r="H15" i="5"/>
  <c r="G15" i="5"/>
  <c r="F15" i="5"/>
  <c r="I14" i="5"/>
  <c r="H14" i="5"/>
  <c r="G14" i="5"/>
  <c r="F14" i="5"/>
  <c r="I13" i="5"/>
  <c r="H13" i="5"/>
  <c r="G13" i="5"/>
  <c r="F13" i="5"/>
  <c r="I12" i="5"/>
  <c r="H12" i="5"/>
  <c r="G12" i="5"/>
  <c r="F12" i="5"/>
  <c r="I11" i="5"/>
  <c r="H11" i="5"/>
  <c r="G11" i="5"/>
  <c r="F11" i="5"/>
  <c r="I10" i="5"/>
  <c r="H10" i="5"/>
  <c r="G10" i="5"/>
  <c r="F10" i="5"/>
  <c r="C9" i="5"/>
  <c r="B9" i="5"/>
  <c r="I90" i="4"/>
  <c r="H90" i="4"/>
  <c r="G90" i="4"/>
  <c r="F90" i="4"/>
  <c r="C90" i="4"/>
  <c r="I89" i="4"/>
  <c r="H89" i="4"/>
  <c r="G89" i="4"/>
  <c r="F89" i="4"/>
  <c r="I88" i="4"/>
  <c r="H88" i="4"/>
  <c r="G88" i="4"/>
  <c r="F88" i="4"/>
  <c r="C88" i="4"/>
  <c r="B88" i="4"/>
  <c r="I87" i="4"/>
  <c r="H87" i="4"/>
  <c r="G87" i="4"/>
  <c r="F87" i="4"/>
  <c r="I86" i="4"/>
  <c r="H86" i="4"/>
  <c r="G86" i="4"/>
  <c r="F86" i="4"/>
  <c r="C86" i="4"/>
  <c r="B86" i="4"/>
  <c r="I85" i="4"/>
  <c r="H85" i="4"/>
  <c r="G85" i="4"/>
  <c r="F85" i="4"/>
  <c r="I84" i="4"/>
  <c r="H84" i="4"/>
  <c r="G84" i="4"/>
  <c r="F84" i="4"/>
  <c r="C84" i="4"/>
  <c r="B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C79" i="4"/>
  <c r="B79" i="4"/>
  <c r="I78" i="4"/>
  <c r="H78" i="4"/>
  <c r="G78" i="4"/>
  <c r="F78" i="4"/>
  <c r="I77" i="4"/>
  <c r="H77" i="4"/>
  <c r="G77" i="4"/>
  <c r="F77" i="4"/>
  <c r="I76" i="4"/>
  <c r="H76" i="4"/>
  <c r="G76" i="4"/>
  <c r="F76" i="4"/>
  <c r="C76" i="4"/>
  <c r="B76" i="4"/>
  <c r="I75" i="4"/>
  <c r="H75" i="4"/>
  <c r="G75" i="4"/>
  <c r="F75" i="4"/>
  <c r="I74" i="4"/>
  <c r="H74" i="4"/>
  <c r="G74" i="4"/>
  <c r="F74" i="4"/>
  <c r="I73" i="4"/>
  <c r="H73" i="4"/>
  <c r="G73" i="4"/>
  <c r="F73" i="4"/>
  <c r="I72" i="4"/>
  <c r="H72" i="4"/>
  <c r="G72" i="4"/>
  <c r="F72" i="4"/>
  <c r="C72" i="4"/>
  <c r="B72" i="4"/>
  <c r="I71" i="4"/>
  <c r="H71" i="4"/>
  <c r="G71" i="4"/>
  <c r="F71" i="4"/>
  <c r="I70" i="4"/>
  <c r="H70" i="4"/>
  <c r="G70" i="4"/>
  <c r="F70" i="4"/>
  <c r="I69" i="4"/>
  <c r="H69" i="4"/>
  <c r="G69" i="4"/>
  <c r="F69" i="4"/>
  <c r="I68" i="4"/>
  <c r="H68" i="4"/>
  <c r="G68" i="4"/>
  <c r="F68" i="4"/>
  <c r="C68" i="4"/>
  <c r="B68" i="4"/>
  <c r="I67" i="4"/>
  <c r="H67" i="4"/>
  <c r="G67" i="4"/>
  <c r="F67" i="4"/>
  <c r="I66" i="4"/>
  <c r="H66" i="4"/>
  <c r="G66" i="4"/>
  <c r="F66" i="4"/>
  <c r="I65" i="4"/>
  <c r="H65" i="4"/>
  <c r="G65" i="4"/>
  <c r="F65" i="4"/>
  <c r="I64" i="4"/>
  <c r="H64" i="4"/>
  <c r="G64" i="4"/>
  <c r="F64" i="4"/>
  <c r="C64" i="4"/>
  <c r="B64" i="4"/>
  <c r="I63" i="4"/>
  <c r="H63" i="4"/>
  <c r="G63" i="4"/>
  <c r="F63" i="4"/>
  <c r="I62" i="4"/>
  <c r="H62" i="4"/>
  <c r="G62" i="4"/>
  <c r="F62" i="4"/>
  <c r="I61" i="4"/>
  <c r="H61" i="4"/>
  <c r="G61" i="4"/>
  <c r="F61" i="4"/>
  <c r="C61" i="4"/>
  <c r="B61" i="4"/>
  <c r="I55" i="4"/>
  <c r="H55" i="4"/>
  <c r="G55" i="4"/>
  <c r="F55" i="4"/>
  <c r="C55" i="4"/>
  <c r="I54" i="4"/>
  <c r="H54" i="4"/>
  <c r="G54" i="4"/>
  <c r="F54" i="4"/>
  <c r="I53" i="4"/>
  <c r="H53" i="4"/>
  <c r="G53" i="4"/>
  <c r="F53" i="4"/>
  <c r="I52" i="4"/>
  <c r="H52" i="4"/>
  <c r="G52" i="4"/>
  <c r="F52" i="4"/>
  <c r="I51" i="4"/>
  <c r="H51" i="4"/>
  <c r="G51" i="4"/>
  <c r="F51" i="4"/>
  <c r="C51" i="4"/>
  <c r="B51" i="4"/>
  <c r="I50" i="4"/>
  <c r="H50" i="4"/>
  <c r="G50" i="4"/>
  <c r="F50" i="4"/>
  <c r="I49" i="4"/>
  <c r="H49" i="4"/>
  <c r="G49" i="4"/>
  <c r="F49" i="4"/>
  <c r="C49" i="4"/>
  <c r="B49" i="4"/>
  <c r="I48" i="4"/>
  <c r="H48" i="4"/>
  <c r="G48" i="4"/>
  <c r="F48" i="4"/>
  <c r="I47" i="4"/>
  <c r="H47" i="4"/>
  <c r="G47" i="4"/>
  <c r="F47" i="4"/>
  <c r="C47" i="4"/>
  <c r="B47" i="4"/>
  <c r="I46" i="4"/>
  <c r="H46" i="4"/>
  <c r="G46" i="4"/>
  <c r="F46" i="4"/>
  <c r="I45" i="4"/>
  <c r="H45" i="4"/>
  <c r="G45" i="4"/>
  <c r="F45" i="4"/>
  <c r="I44" i="4"/>
  <c r="H44" i="4"/>
  <c r="G44" i="4"/>
  <c r="F44" i="4"/>
  <c r="I43" i="4"/>
  <c r="H43" i="4"/>
  <c r="G43" i="4"/>
  <c r="F43" i="4"/>
  <c r="I42" i="4"/>
  <c r="H42" i="4"/>
  <c r="G42" i="4"/>
  <c r="F42" i="4"/>
  <c r="C42" i="4"/>
  <c r="B42" i="4"/>
  <c r="I41" i="4"/>
  <c r="H41" i="4"/>
  <c r="G41" i="4"/>
  <c r="F41" i="4"/>
  <c r="I40" i="4"/>
  <c r="H40" i="4"/>
  <c r="G40" i="4"/>
  <c r="F40" i="4"/>
  <c r="I39" i="4"/>
  <c r="H39" i="4"/>
  <c r="G39" i="4"/>
  <c r="F39" i="4"/>
  <c r="C39" i="4"/>
  <c r="B39" i="4"/>
  <c r="I38" i="4"/>
  <c r="H38" i="4"/>
  <c r="G38" i="4"/>
  <c r="F38" i="4"/>
  <c r="I37" i="4"/>
  <c r="H37" i="4"/>
  <c r="G37" i="4"/>
  <c r="F37" i="4"/>
  <c r="I36" i="4"/>
  <c r="H36" i="4"/>
  <c r="G36" i="4"/>
  <c r="F36" i="4"/>
  <c r="I35" i="4"/>
  <c r="H35" i="4"/>
  <c r="G35" i="4"/>
  <c r="F35" i="4"/>
  <c r="I34" i="4"/>
  <c r="H34" i="4"/>
  <c r="G34" i="4"/>
  <c r="F34" i="4"/>
  <c r="C34" i="4"/>
  <c r="B34" i="4"/>
  <c r="I33" i="4"/>
  <c r="H33" i="4"/>
  <c r="G33" i="4"/>
  <c r="F33" i="4"/>
  <c r="I32" i="4"/>
  <c r="H32" i="4"/>
  <c r="G32" i="4"/>
  <c r="F32" i="4"/>
  <c r="C32" i="4"/>
  <c r="B32" i="4"/>
  <c r="I31" i="4"/>
  <c r="H31" i="4"/>
  <c r="G31" i="4"/>
  <c r="F31" i="4"/>
  <c r="I30" i="4"/>
  <c r="H30" i="4"/>
  <c r="G30" i="4"/>
  <c r="F30" i="4"/>
  <c r="I29" i="4"/>
  <c r="H29" i="4"/>
  <c r="G29" i="4"/>
  <c r="F29" i="4"/>
  <c r="I28" i="4"/>
  <c r="H28" i="4"/>
  <c r="G28" i="4"/>
  <c r="F28" i="4"/>
  <c r="I27" i="4"/>
  <c r="H27" i="4"/>
  <c r="G27" i="4"/>
  <c r="F27" i="4"/>
  <c r="C27" i="4"/>
  <c r="I26" i="4"/>
  <c r="H26" i="4"/>
  <c r="G26" i="4"/>
  <c r="F26" i="4"/>
  <c r="I25" i="4"/>
  <c r="H25" i="4"/>
  <c r="G25" i="4"/>
  <c r="F25" i="4"/>
  <c r="I24" i="4"/>
  <c r="H24" i="4"/>
  <c r="G24" i="4"/>
  <c r="F24" i="4"/>
  <c r="I23" i="4"/>
  <c r="H23" i="4"/>
  <c r="G23" i="4"/>
  <c r="F23" i="4"/>
  <c r="I22" i="4"/>
  <c r="H22" i="4"/>
  <c r="G22" i="4"/>
  <c r="F22" i="4"/>
  <c r="C22" i="4"/>
  <c r="B22" i="4"/>
  <c r="I21" i="4"/>
  <c r="H21" i="4"/>
  <c r="G21" i="4"/>
  <c r="F21" i="4"/>
  <c r="I20" i="4"/>
  <c r="H20" i="4"/>
  <c r="G20" i="4"/>
  <c r="F20" i="4"/>
  <c r="I19" i="4"/>
  <c r="H19" i="4"/>
  <c r="G19" i="4"/>
  <c r="F19" i="4"/>
  <c r="I18" i="4"/>
  <c r="H18" i="4"/>
  <c r="G18" i="4"/>
  <c r="F18" i="4"/>
  <c r="C18" i="4"/>
  <c r="B18" i="4"/>
  <c r="I17" i="4"/>
  <c r="H17" i="4"/>
  <c r="G17" i="4"/>
  <c r="F17" i="4"/>
  <c r="I16" i="4"/>
  <c r="H16" i="4"/>
  <c r="G16" i="4"/>
  <c r="F16" i="4"/>
  <c r="B16" i="4"/>
  <c r="I15" i="4"/>
  <c r="H15" i="4"/>
  <c r="G15" i="4"/>
  <c r="F15" i="4"/>
  <c r="I14" i="4"/>
  <c r="H14" i="4"/>
  <c r="G14" i="4"/>
  <c r="F14" i="4"/>
  <c r="I13" i="4"/>
  <c r="H13" i="4"/>
  <c r="G13" i="4"/>
  <c r="F13" i="4"/>
  <c r="I12" i="4"/>
  <c r="H12" i="4"/>
  <c r="G12" i="4"/>
  <c r="F12" i="4"/>
  <c r="C12" i="4"/>
  <c r="B12" i="4"/>
  <c r="I11" i="4"/>
  <c r="H11" i="4"/>
  <c r="G11" i="4"/>
  <c r="F11" i="4"/>
  <c r="I10" i="4"/>
  <c r="H10" i="4"/>
  <c r="G10" i="4"/>
  <c r="F10" i="4"/>
  <c r="I9" i="4"/>
  <c r="H9" i="4"/>
  <c r="G9" i="4"/>
  <c r="F9" i="4"/>
  <c r="C9" i="4"/>
  <c r="B9" i="4"/>
  <c r="H118" i="3"/>
  <c r="G118" i="3"/>
  <c r="F118" i="3"/>
  <c r="I117" i="3"/>
  <c r="H117" i="3"/>
  <c r="G117" i="3"/>
  <c r="F117" i="3"/>
  <c r="I116" i="3"/>
  <c r="H116" i="3"/>
  <c r="G116" i="3"/>
  <c r="F116" i="3"/>
  <c r="E116" i="3"/>
  <c r="D116" i="3"/>
  <c r="C116" i="3"/>
  <c r="B116" i="3"/>
  <c r="I115" i="3"/>
  <c r="H115" i="3"/>
  <c r="G115" i="3"/>
  <c r="F115" i="3"/>
  <c r="I114" i="3"/>
  <c r="H114" i="3"/>
  <c r="G114" i="3"/>
  <c r="F114" i="3"/>
  <c r="E114" i="3"/>
  <c r="D114" i="3"/>
  <c r="C114" i="3"/>
  <c r="B114" i="3"/>
  <c r="I113" i="3"/>
  <c r="H113" i="3"/>
  <c r="G113" i="3"/>
  <c r="F113" i="3"/>
  <c r="I112" i="3"/>
  <c r="H112" i="3"/>
  <c r="G112" i="3"/>
  <c r="F112" i="3"/>
  <c r="E112" i="3"/>
  <c r="D112" i="3"/>
  <c r="C112" i="3"/>
  <c r="B112" i="3"/>
  <c r="I111" i="3"/>
  <c r="H111" i="3"/>
  <c r="G111" i="3"/>
  <c r="F111" i="3"/>
  <c r="I110" i="3"/>
  <c r="H110" i="3"/>
  <c r="G110" i="3"/>
  <c r="F110" i="3"/>
  <c r="E110" i="3"/>
  <c r="D110" i="3"/>
  <c r="C110" i="3"/>
  <c r="B110" i="3"/>
  <c r="I109" i="3"/>
  <c r="H109" i="3"/>
  <c r="G109" i="3"/>
  <c r="F109" i="3"/>
  <c r="I108" i="3"/>
  <c r="H108" i="3"/>
  <c r="G108" i="3"/>
  <c r="F108" i="3"/>
  <c r="I107" i="3"/>
  <c r="H107" i="3"/>
  <c r="G107" i="3"/>
  <c r="F107" i="3"/>
  <c r="E107" i="3"/>
  <c r="D107" i="3"/>
  <c r="C107" i="3"/>
  <c r="B107" i="3"/>
  <c r="G106" i="3"/>
  <c r="G105" i="3"/>
  <c r="I104" i="3"/>
  <c r="H104" i="3"/>
  <c r="G104" i="3"/>
  <c r="F104" i="3"/>
  <c r="I103" i="3"/>
  <c r="H103" i="3"/>
  <c r="G103" i="3"/>
  <c r="F103" i="3"/>
  <c r="I102" i="3"/>
  <c r="H102" i="3"/>
  <c r="G102" i="3"/>
  <c r="F102" i="3"/>
  <c r="I101" i="3"/>
  <c r="H101" i="3"/>
  <c r="G101" i="3"/>
  <c r="F101" i="3"/>
  <c r="I100" i="3"/>
  <c r="H100" i="3"/>
  <c r="G100" i="3"/>
  <c r="F100" i="3"/>
  <c r="I99" i="3"/>
  <c r="H99" i="3"/>
  <c r="G99" i="3"/>
  <c r="F99" i="3"/>
  <c r="I98" i="3"/>
  <c r="H98" i="3"/>
  <c r="G98" i="3"/>
  <c r="F98" i="3"/>
  <c r="I97" i="3"/>
  <c r="H97" i="3"/>
  <c r="G97" i="3"/>
  <c r="F97" i="3"/>
  <c r="I96" i="3"/>
  <c r="H96" i="3"/>
  <c r="G96" i="3"/>
  <c r="F96" i="3"/>
  <c r="I95" i="3"/>
  <c r="H95" i="3"/>
  <c r="G95" i="3"/>
  <c r="F95" i="3"/>
  <c r="E95" i="3"/>
  <c r="D95" i="3"/>
  <c r="C95" i="3"/>
  <c r="B95" i="3"/>
  <c r="I94" i="3"/>
  <c r="H94" i="3"/>
  <c r="G94" i="3"/>
  <c r="F94" i="3"/>
  <c r="I93" i="3"/>
  <c r="H93" i="3"/>
  <c r="G93" i="3"/>
  <c r="F93" i="3"/>
  <c r="I92" i="3"/>
  <c r="H92" i="3"/>
  <c r="G92" i="3"/>
  <c r="F92" i="3"/>
  <c r="I91" i="3"/>
  <c r="H91" i="3"/>
  <c r="G91" i="3"/>
  <c r="F91" i="3"/>
  <c r="I90" i="3"/>
  <c r="H90" i="3"/>
  <c r="G90" i="3"/>
  <c r="F90" i="3"/>
  <c r="I89" i="3"/>
  <c r="H89" i="3"/>
  <c r="G89" i="3"/>
  <c r="F89" i="3"/>
  <c r="E89" i="3"/>
  <c r="D89" i="3"/>
  <c r="C89" i="3"/>
  <c r="B89" i="3"/>
  <c r="I88" i="3"/>
  <c r="H88" i="3"/>
  <c r="G88" i="3"/>
  <c r="F88" i="3"/>
  <c r="I87" i="3"/>
  <c r="H87" i="3"/>
  <c r="G87" i="3"/>
  <c r="F87" i="3"/>
  <c r="I86" i="3"/>
  <c r="H86" i="3"/>
  <c r="G86" i="3"/>
  <c r="F86" i="3"/>
  <c r="G85" i="3"/>
  <c r="I84" i="3"/>
  <c r="H84" i="3"/>
  <c r="G84" i="3"/>
  <c r="F84" i="3"/>
  <c r="E84" i="3"/>
  <c r="D84" i="3"/>
  <c r="C84" i="3"/>
  <c r="B84" i="3"/>
  <c r="I83" i="3"/>
  <c r="H83" i="3"/>
  <c r="G83" i="3"/>
  <c r="F83" i="3"/>
  <c r="I82" i="3"/>
  <c r="H82" i="3"/>
  <c r="G82" i="3"/>
  <c r="F82" i="3"/>
  <c r="I81" i="3"/>
  <c r="H81" i="3"/>
  <c r="G81" i="3"/>
  <c r="F81" i="3"/>
  <c r="I80" i="3"/>
  <c r="H80" i="3"/>
  <c r="G80" i="3"/>
  <c r="F80" i="3"/>
  <c r="E80" i="3"/>
  <c r="D80" i="3"/>
  <c r="C80" i="3"/>
  <c r="B80" i="3"/>
  <c r="I79" i="3"/>
  <c r="H79" i="3"/>
  <c r="G79" i="3"/>
  <c r="F79" i="3"/>
  <c r="I78" i="3"/>
  <c r="H78" i="3"/>
  <c r="G78" i="3"/>
  <c r="F78" i="3"/>
  <c r="I77" i="3"/>
  <c r="H77" i="3"/>
  <c r="G77" i="3"/>
  <c r="F77" i="3"/>
  <c r="I76" i="3"/>
  <c r="H76" i="3"/>
  <c r="G76" i="3"/>
  <c r="F76" i="3"/>
  <c r="E76" i="3"/>
  <c r="D76" i="3"/>
  <c r="C76" i="3"/>
  <c r="B76" i="3"/>
  <c r="I75" i="3"/>
  <c r="H75" i="3"/>
  <c r="G75" i="3"/>
  <c r="F75" i="3"/>
  <c r="I74" i="3"/>
  <c r="H74" i="3"/>
  <c r="G74" i="3"/>
  <c r="F74" i="3"/>
  <c r="I73" i="3"/>
  <c r="H73" i="3"/>
  <c r="G73" i="3"/>
  <c r="F73" i="3"/>
  <c r="I72" i="3"/>
  <c r="H72" i="3"/>
  <c r="G72" i="3"/>
  <c r="F72" i="3"/>
  <c r="I71" i="3"/>
  <c r="H71" i="3"/>
  <c r="G71" i="3"/>
  <c r="F71" i="3"/>
  <c r="I70" i="3"/>
  <c r="H70" i="3"/>
  <c r="G70" i="3"/>
  <c r="F70" i="3"/>
  <c r="I69" i="3"/>
  <c r="H69" i="3"/>
  <c r="G69" i="3"/>
  <c r="F69" i="3"/>
  <c r="I68" i="3"/>
  <c r="H68" i="3"/>
  <c r="G68" i="3"/>
  <c r="F68" i="3"/>
  <c r="E68" i="3"/>
  <c r="D68" i="3"/>
  <c r="B68" i="3"/>
  <c r="F62" i="3"/>
  <c r="E62" i="3"/>
  <c r="D62" i="3"/>
  <c r="B62" i="3"/>
  <c r="I61" i="3"/>
  <c r="H61" i="3"/>
  <c r="G61" i="3"/>
  <c r="F61" i="3"/>
  <c r="I60" i="3"/>
  <c r="H60" i="3"/>
  <c r="G60" i="3"/>
  <c r="F60" i="3"/>
  <c r="B60" i="3"/>
  <c r="I59" i="3"/>
  <c r="H59" i="3"/>
  <c r="G59" i="3"/>
  <c r="F59" i="3"/>
  <c r="I58" i="3"/>
  <c r="H58" i="3"/>
  <c r="G58" i="3"/>
  <c r="F58" i="3"/>
  <c r="B58" i="3"/>
  <c r="I57" i="3"/>
  <c r="H57" i="3"/>
  <c r="G57" i="3"/>
  <c r="F57" i="3"/>
  <c r="I56" i="3"/>
  <c r="H56" i="3"/>
  <c r="G56" i="3"/>
  <c r="F56" i="3"/>
  <c r="B56" i="3"/>
  <c r="I55" i="3"/>
  <c r="H55" i="3"/>
  <c r="G55" i="3"/>
  <c r="F55" i="3"/>
  <c r="I54" i="3"/>
  <c r="H54" i="3"/>
  <c r="G54" i="3"/>
  <c r="F54" i="3"/>
  <c r="B54" i="3"/>
  <c r="I53" i="3"/>
  <c r="H53" i="3"/>
  <c r="G53" i="3"/>
  <c r="F53" i="3"/>
  <c r="I52" i="3"/>
  <c r="H52" i="3"/>
  <c r="G52" i="3"/>
  <c r="F52" i="3"/>
  <c r="B52" i="3"/>
  <c r="I50" i="3"/>
  <c r="H50" i="3"/>
  <c r="G50" i="3"/>
  <c r="F50" i="3"/>
  <c r="I49" i="3"/>
  <c r="H49" i="3"/>
  <c r="G49" i="3"/>
  <c r="F49" i="3"/>
  <c r="B49" i="3"/>
  <c r="I48" i="3"/>
  <c r="H48" i="3"/>
  <c r="G48" i="3"/>
  <c r="F48" i="3"/>
  <c r="I47" i="3"/>
  <c r="H47" i="3"/>
  <c r="G47" i="3"/>
  <c r="F47" i="3"/>
  <c r="I46" i="3"/>
  <c r="H46" i="3"/>
  <c r="G46" i="3"/>
  <c r="F46" i="3"/>
  <c r="B46" i="3"/>
  <c r="I45" i="3"/>
  <c r="H45" i="3"/>
  <c r="G45" i="3"/>
  <c r="F45" i="3"/>
  <c r="I44" i="3"/>
  <c r="H44" i="3"/>
  <c r="G44" i="3"/>
  <c r="F44" i="3"/>
  <c r="I43" i="3"/>
  <c r="H43" i="3"/>
  <c r="G43" i="3"/>
  <c r="F43" i="3"/>
  <c r="I42" i="3"/>
  <c r="H42" i="3"/>
  <c r="G42" i="3"/>
  <c r="F42" i="3"/>
  <c r="I41" i="3"/>
  <c r="H41" i="3"/>
  <c r="G41" i="3"/>
  <c r="F41" i="3"/>
  <c r="I40" i="3"/>
  <c r="H40" i="3"/>
  <c r="G40" i="3"/>
  <c r="F40" i="3"/>
  <c r="I39" i="3"/>
  <c r="H39" i="3"/>
  <c r="G39" i="3"/>
  <c r="F39" i="3"/>
  <c r="I38" i="3"/>
  <c r="H38" i="3"/>
  <c r="G38" i="3"/>
  <c r="F38" i="3"/>
  <c r="I37" i="3"/>
  <c r="H37" i="3"/>
  <c r="G37" i="3"/>
  <c r="F37" i="3"/>
  <c r="I36" i="3"/>
  <c r="H36" i="3"/>
  <c r="G36" i="3"/>
  <c r="F36" i="3"/>
  <c r="B36" i="3"/>
  <c r="I35" i="3"/>
  <c r="H35" i="3"/>
  <c r="G35" i="3"/>
  <c r="F35" i="3"/>
  <c r="I34" i="3"/>
  <c r="H34" i="3"/>
  <c r="G34" i="3"/>
  <c r="F34" i="3"/>
  <c r="I33" i="3"/>
  <c r="H33" i="3"/>
  <c r="G33" i="3"/>
  <c r="F33" i="3"/>
  <c r="I32" i="3"/>
  <c r="H32" i="3"/>
  <c r="G32" i="3"/>
  <c r="F32" i="3"/>
  <c r="I31" i="3"/>
  <c r="H31" i="3"/>
  <c r="G31" i="3"/>
  <c r="F31" i="3"/>
  <c r="I30" i="3"/>
  <c r="H30" i="3"/>
  <c r="G30" i="3"/>
  <c r="F30" i="3"/>
  <c r="B30" i="3"/>
  <c r="I29" i="3"/>
  <c r="H29" i="3"/>
  <c r="G29" i="3"/>
  <c r="F29" i="3"/>
  <c r="I28" i="3"/>
  <c r="H28" i="3"/>
  <c r="G28" i="3"/>
  <c r="F28" i="3"/>
  <c r="I27" i="3"/>
  <c r="H27" i="3"/>
  <c r="G27" i="3"/>
  <c r="F27" i="3"/>
  <c r="I26" i="3"/>
  <c r="H26" i="3"/>
  <c r="G26" i="3"/>
  <c r="F26" i="3"/>
  <c r="I25" i="3"/>
  <c r="H25" i="3"/>
  <c r="G25" i="3"/>
  <c r="F25" i="3"/>
  <c r="C25" i="3"/>
  <c r="B25" i="3"/>
  <c r="I24" i="3"/>
  <c r="H24" i="3"/>
  <c r="G24" i="3"/>
  <c r="F24" i="3"/>
  <c r="I23" i="3"/>
  <c r="H23" i="3"/>
  <c r="G23" i="3"/>
  <c r="F23" i="3"/>
  <c r="I22" i="3"/>
  <c r="H22" i="3"/>
  <c r="G22" i="3"/>
  <c r="F22" i="3"/>
  <c r="I21" i="3"/>
  <c r="H21" i="3"/>
  <c r="G21" i="3"/>
  <c r="F21" i="3"/>
  <c r="B21" i="3"/>
  <c r="I20" i="3"/>
  <c r="H20" i="3"/>
  <c r="G20" i="3"/>
  <c r="F20" i="3"/>
  <c r="I19" i="3"/>
  <c r="H19" i="3"/>
  <c r="G19" i="3"/>
  <c r="F19" i="3"/>
  <c r="I18" i="3"/>
  <c r="H18" i="3"/>
  <c r="G18" i="3"/>
  <c r="F18" i="3"/>
  <c r="I17" i="3"/>
  <c r="H17" i="3"/>
  <c r="G17" i="3"/>
  <c r="F17" i="3"/>
  <c r="C17" i="3"/>
  <c r="B17" i="3"/>
  <c r="I16" i="3"/>
  <c r="H16" i="3"/>
  <c r="G16" i="3"/>
  <c r="F16" i="3"/>
  <c r="I15" i="3"/>
  <c r="H15" i="3"/>
  <c r="G15" i="3"/>
  <c r="F15" i="3"/>
  <c r="I14" i="3"/>
  <c r="H14" i="3"/>
  <c r="G14" i="3"/>
  <c r="F14" i="3"/>
  <c r="I13" i="3"/>
  <c r="H13" i="3"/>
  <c r="G13" i="3"/>
  <c r="F13" i="3"/>
  <c r="I12" i="3"/>
  <c r="H12" i="3"/>
  <c r="G12" i="3"/>
  <c r="F12" i="3"/>
  <c r="I11" i="3"/>
  <c r="H11" i="3"/>
  <c r="G11" i="3"/>
  <c r="F11" i="3"/>
  <c r="I10" i="3"/>
  <c r="H10" i="3"/>
  <c r="G10" i="3"/>
  <c r="F10" i="3"/>
  <c r="I9" i="3"/>
  <c r="H9" i="3"/>
  <c r="G9" i="3"/>
  <c r="F9" i="3"/>
  <c r="I8" i="3"/>
  <c r="H8" i="3"/>
  <c r="G8" i="3"/>
  <c r="F8" i="3"/>
  <c r="C8" i="3"/>
  <c r="B8" i="3"/>
  <c r="J204" i="33"/>
  <c r="I204" i="33"/>
  <c r="H204" i="33"/>
  <c r="G204" i="33"/>
  <c r="J203" i="33"/>
  <c r="I203" i="33"/>
  <c r="H203" i="33"/>
  <c r="G203" i="33"/>
  <c r="J202" i="33"/>
  <c r="I202" i="33"/>
  <c r="H202" i="33"/>
  <c r="G202" i="33"/>
  <c r="J201" i="33"/>
  <c r="I201" i="33"/>
  <c r="H201" i="33"/>
  <c r="G201" i="33"/>
  <c r="J200" i="33"/>
  <c r="I200" i="33"/>
  <c r="H200" i="33"/>
  <c r="G200" i="33"/>
  <c r="J199" i="33"/>
  <c r="I199" i="33"/>
  <c r="H199" i="33"/>
  <c r="G199" i="33"/>
  <c r="J198" i="33"/>
  <c r="I198" i="33"/>
  <c r="H198" i="33"/>
  <c r="G198" i="33"/>
  <c r="J197" i="33"/>
  <c r="I197" i="33"/>
  <c r="H197" i="33"/>
  <c r="G197" i="33"/>
  <c r="J196" i="33"/>
  <c r="I196" i="33"/>
  <c r="H196" i="33"/>
  <c r="G196" i="33"/>
  <c r="J195" i="33"/>
  <c r="I195" i="33"/>
  <c r="H195" i="33"/>
  <c r="G195" i="33"/>
  <c r="J194" i="33"/>
  <c r="I194" i="33"/>
  <c r="H194" i="33"/>
  <c r="G194" i="33"/>
  <c r="J193" i="33"/>
  <c r="I193" i="33"/>
  <c r="H193" i="33"/>
  <c r="G193" i="33"/>
  <c r="J192" i="33"/>
  <c r="I192" i="33"/>
  <c r="H192" i="33"/>
  <c r="G192" i="33"/>
  <c r="J191" i="33"/>
  <c r="I191" i="33"/>
  <c r="H191" i="33"/>
  <c r="G191" i="33"/>
  <c r="J190" i="33"/>
  <c r="I190" i="33"/>
  <c r="H190" i="33"/>
  <c r="G190" i="33"/>
  <c r="J189" i="33"/>
  <c r="I189" i="33"/>
  <c r="H189" i="33"/>
  <c r="G189" i="33"/>
  <c r="J188" i="33"/>
  <c r="I188" i="33"/>
  <c r="H188" i="33"/>
  <c r="G188" i="33"/>
  <c r="J187" i="33"/>
  <c r="I187" i="33"/>
  <c r="H187" i="33"/>
  <c r="G187" i="33"/>
  <c r="J186" i="33"/>
  <c r="I186" i="33"/>
  <c r="H186" i="33"/>
  <c r="G186" i="33"/>
  <c r="J185" i="33"/>
  <c r="I185" i="33"/>
  <c r="H185" i="33"/>
  <c r="G185" i="33"/>
  <c r="J184" i="33"/>
  <c r="I184" i="33"/>
  <c r="H184" i="33"/>
  <c r="G184" i="33"/>
  <c r="J183" i="33"/>
  <c r="I183" i="33"/>
  <c r="H183" i="33"/>
  <c r="G183" i="33"/>
  <c r="J182" i="33"/>
  <c r="I182" i="33"/>
  <c r="H182" i="33"/>
  <c r="G182" i="33"/>
  <c r="H181" i="33"/>
  <c r="G181" i="33"/>
  <c r="J180" i="33"/>
  <c r="I180" i="33"/>
  <c r="H180" i="33"/>
  <c r="G180" i="33"/>
  <c r="J179" i="33"/>
  <c r="I179" i="33"/>
  <c r="H179" i="33"/>
  <c r="G179" i="33"/>
  <c r="J178" i="33"/>
  <c r="I178" i="33"/>
  <c r="H178" i="33"/>
  <c r="G178" i="33"/>
  <c r="J177" i="33"/>
  <c r="I177" i="33"/>
  <c r="H177" i="33"/>
  <c r="G177" i="33"/>
  <c r="J176" i="33"/>
  <c r="I176" i="33"/>
  <c r="H176" i="33"/>
  <c r="G176" i="33"/>
  <c r="J175" i="33"/>
  <c r="I175" i="33"/>
  <c r="H175" i="33"/>
  <c r="G175" i="33"/>
  <c r="J174" i="33"/>
  <c r="I174" i="33"/>
  <c r="H174" i="33"/>
  <c r="G174" i="33"/>
  <c r="J173" i="33"/>
  <c r="I173" i="33"/>
  <c r="H173" i="33"/>
  <c r="G173" i="33"/>
  <c r="J172" i="33"/>
  <c r="I172" i="33"/>
  <c r="H172" i="33"/>
  <c r="G172" i="33"/>
  <c r="J171" i="33"/>
  <c r="I171" i="33"/>
  <c r="H171" i="33"/>
  <c r="G171" i="33"/>
  <c r="J170" i="33"/>
  <c r="I170" i="33"/>
  <c r="H170" i="33"/>
  <c r="G170" i="33"/>
  <c r="J169" i="33"/>
  <c r="I169" i="33"/>
  <c r="H169" i="33"/>
  <c r="G169" i="33"/>
  <c r="J168" i="33"/>
  <c r="I168" i="33"/>
  <c r="H168" i="33"/>
  <c r="G168" i="33"/>
  <c r="J167" i="33"/>
  <c r="I167" i="33"/>
  <c r="H167" i="33"/>
  <c r="G167" i="33"/>
  <c r="J166" i="33"/>
  <c r="I166" i="33"/>
  <c r="H166" i="33"/>
  <c r="G166" i="33"/>
  <c r="J165" i="33"/>
  <c r="I165" i="33"/>
  <c r="H165" i="33"/>
  <c r="G165" i="33"/>
  <c r="J164" i="33"/>
  <c r="I164" i="33"/>
  <c r="H164" i="33"/>
  <c r="G164" i="33"/>
  <c r="J163" i="33"/>
  <c r="I163" i="33"/>
  <c r="H163" i="33"/>
  <c r="G163" i="33"/>
  <c r="J162" i="33"/>
  <c r="I162" i="33"/>
  <c r="H162" i="33"/>
  <c r="G162" i="33"/>
  <c r="J161" i="33"/>
  <c r="I161" i="33"/>
  <c r="H161" i="33"/>
  <c r="G161" i="33"/>
  <c r="J160" i="33"/>
  <c r="I160" i="33"/>
  <c r="H160" i="33"/>
  <c r="G160" i="33"/>
  <c r="J159" i="33"/>
  <c r="I159" i="33"/>
  <c r="H159" i="33"/>
  <c r="G159" i="33"/>
  <c r="J158" i="33"/>
  <c r="I158" i="33"/>
  <c r="H158" i="33"/>
  <c r="G158" i="33"/>
  <c r="J157" i="33"/>
  <c r="I157" i="33"/>
  <c r="H157" i="33"/>
  <c r="G157" i="33"/>
  <c r="J156" i="33"/>
  <c r="I156" i="33"/>
  <c r="H156" i="33"/>
  <c r="G156" i="33"/>
  <c r="J155" i="33"/>
  <c r="I155" i="33"/>
  <c r="H155" i="33"/>
  <c r="G155" i="33"/>
  <c r="J154" i="33"/>
  <c r="I154" i="33"/>
  <c r="H154" i="33"/>
  <c r="G154" i="33"/>
  <c r="W153" i="33"/>
  <c r="P153" i="33"/>
  <c r="J153" i="33"/>
  <c r="I153" i="33"/>
  <c r="H153" i="33"/>
  <c r="G153" i="33"/>
  <c r="W152" i="33"/>
  <c r="P152" i="33"/>
  <c r="J152" i="33"/>
  <c r="I152" i="33"/>
  <c r="H152" i="33"/>
  <c r="G152" i="33"/>
  <c r="W151" i="33"/>
  <c r="P151" i="33"/>
  <c r="J151" i="33"/>
  <c r="I151" i="33"/>
  <c r="H151" i="33"/>
  <c r="G151" i="33"/>
  <c r="J150" i="33"/>
  <c r="H150" i="33"/>
  <c r="G150" i="33"/>
  <c r="G144" i="33"/>
  <c r="AA83" i="33"/>
  <c r="AA82" i="33"/>
  <c r="AA81" i="33"/>
  <c r="AA80" i="33"/>
  <c r="V80" i="33"/>
  <c r="P80" i="33"/>
  <c r="AA79" i="33"/>
  <c r="AA78" i="33"/>
  <c r="V78" i="33"/>
  <c r="P78" i="33"/>
  <c r="Z11" i="33"/>
  <c r="T12" i="33"/>
  <c r="N12" i="33"/>
  <c r="AA10" i="33"/>
  <c r="Z10" i="33"/>
  <c r="V10" i="33"/>
  <c r="P10" i="33"/>
  <c r="AA9" i="33"/>
  <c r="AA8" i="33"/>
  <c r="Z8" i="33"/>
  <c r="V8" i="33"/>
  <c r="P8" i="33"/>
  <c r="AA7" i="33"/>
  <c r="R72" i="8" l="1"/>
  <c r="Y57" i="8"/>
  <c r="S62" i="8"/>
  <c r="Z4" i="8"/>
  <c r="AB22" i="9"/>
  <c r="AB56" i="9" s="1"/>
  <c r="F64" i="9"/>
  <c r="J64" i="9"/>
  <c r="N64" i="9"/>
  <c r="R64" i="9"/>
  <c r="V64" i="9"/>
  <c r="AB14" i="9"/>
  <c r="I18" i="5"/>
  <c r="R10" i="5"/>
  <c r="L10" i="5"/>
  <c r="N10" i="5" s="1"/>
  <c r="D97" i="33"/>
  <c r="D25" i="33" s="1"/>
  <c r="I25" i="5"/>
  <c r="R11" i="5"/>
  <c r="L11" i="5"/>
  <c r="N11" i="5" s="1"/>
  <c r="D128" i="33"/>
  <c r="D56" i="33" s="1"/>
  <c r="I31" i="5"/>
  <c r="H41" i="5"/>
  <c r="H52" i="5"/>
  <c r="L43" i="5"/>
  <c r="N43" i="5" s="1"/>
  <c r="R43" i="5"/>
  <c r="S43" i="5" s="1"/>
  <c r="I58" i="5"/>
  <c r="Q12" i="5"/>
  <c r="C78" i="33"/>
  <c r="C6" i="33" s="1"/>
  <c r="G6" i="33" s="1"/>
  <c r="F18" i="5"/>
  <c r="Q9" i="5"/>
  <c r="C93" i="33"/>
  <c r="C21" i="33" s="1"/>
  <c r="H29" i="5"/>
  <c r="Q13" i="5"/>
  <c r="C137" i="33"/>
  <c r="C65" i="33" s="1"/>
  <c r="L44" i="5"/>
  <c r="N44" i="5" s="1"/>
  <c r="R44" i="5"/>
  <c r="S44" i="5" s="1"/>
  <c r="I41" i="5"/>
  <c r="R42" i="5"/>
  <c r="S42" i="5" s="1"/>
  <c r="L42" i="5"/>
  <c r="N42" i="5" s="1"/>
  <c r="I52" i="5"/>
  <c r="H56" i="5"/>
  <c r="H60" i="5"/>
  <c r="D78" i="33"/>
  <c r="D6" i="33" s="1"/>
  <c r="H6" i="33" s="1"/>
  <c r="R12" i="5"/>
  <c r="S12" i="5" s="1"/>
  <c r="L12" i="5"/>
  <c r="N12" i="5" s="1"/>
  <c r="R9" i="5"/>
  <c r="S9" i="5" s="1"/>
  <c r="L9" i="5"/>
  <c r="N9" i="5" s="1"/>
  <c r="D93" i="33"/>
  <c r="D21" i="33" s="1"/>
  <c r="I21" i="33" s="1"/>
  <c r="I21" i="5"/>
  <c r="G25" i="5"/>
  <c r="I29" i="5"/>
  <c r="G31" i="5"/>
  <c r="R13" i="5"/>
  <c r="S13" i="5" s="1"/>
  <c r="L13" i="5"/>
  <c r="N13" i="5" s="1"/>
  <c r="D137" i="33"/>
  <c r="D65" i="33" s="1"/>
  <c r="I33" i="5"/>
  <c r="F41" i="5"/>
  <c r="H48" i="5"/>
  <c r="F52" i="5"/>
  <c r="G58" i="5"/>
  <c r="R45" i="5"/>
  <c r="S45" i="5" s="1"/>
  <c r="L45" i="5"/>
  <c r="N45" i="5" s="1"/>
  <c r="I60" i="5"/>
  <c r="F9" i="5"/>
  <c r="H18" i="5"/>
  <c r="F21" i="5"/>
  <c r="Q10" i="5"/>
  <c r="C97" i="33"/>
  <c r="C25" i="33" s="1"/>
  <c r="G25" i="33" s="1"/>
  <c r="H25" i="5"/>
  <c r="F29" i="5"/>
  <c r="Q11" i="5"/>
  <c r="C128" i="33"/>
  <c r="C56" i="33" s="1"/>
  <c r="H31" i="5"/>
  <c r="F33" i="5"/>
  <c r="G41" i="5"/>
  <c r="R41" i="5"/>
  <c r="S41" i="5" s="1"/>
  <c r="L41" i="5"/>
  <c r="N41" i="5" s="1"/>
  <c r="I48" i="5"/>
  <c r="G52" i="5"/>
  <c r="H58" i="5"/>
  <c r="F60" i="5"/>
  <c r="C62" i="5"/>
  <c r="AB44" i="31"/>
  <c r="AE44" i="31" s="1"/>
  <c r="AF44" i="31" s="1"/>
  <c r="AC44" i="31"/>
  <c r="G65" i="31"/>
  <c r="G76" i="31" s="1"/>
  <c r="K65" i="31"/>
  <c r="K76" i="31" s="1"/>
  <c r="O65" i="31"/>
  <c r="O76" i="31" s="1"/>
  <c r="S65" i="31"/>
  <c r="S76" i="31" s="1"/>
  <c r="W65" i="31"/>
  <c r="W76" i="31" s="1"/>
  <c r="D70" i="31"/>
  <c r="H70" i="31"/>
  <c r="L70" i="31"/>
  <c r="P70" i="31"/>
  <c r="T70" i="31"/>
  <c r="X70" i="31"/>
  <c r="X65" i="31"/>
  <c r="E70" i="31"/>
  <c r="I70" i="31"/>
  <c r="M70" i="31"/>
  <c r="Q70" i="31"/>
  <c r="U70" i="31"/>
  <c r="U65" i="31"/>
  <c r="F70" i="31"/>
  <c r="J70" i="31"/>
  <c r="N70" i="31"/>
  <c r="R70" i="31"/>
  <c r="V70" i="31"/>
  <c r="C65" i="31"/>
  <c r="C70" i="31"/>
  <c r="L28" i="26"/>
  <c r="G28" i="26"/>
  <c r="X130" i="9"/>
  <c r="U130" i="9"/>
  <c r="AC85" i="9"/>
  <c r="B130" i="9"/>
  <c r="AB85" i="9"/>
  <c r="Z13" i="31"/>
  <c r="Z14" i="31"/>
  <c r="Z15" i="31"/>
  <c r="Z16" i="31"/>
  <c r="Z18" i="31"/>
  <c r="Z22" i="31"/>
  <c r="I9" i="5"/>
  <c r="C35" i="5"/>
  <c r="G9" i="5"/>
  <c r="H9" i="5"/>
  <c r="Z19" i="31"/>
  <c r="Z23" i="31"/>
  <c r="Z27" i="31"/>
  <c r="C38" i="31"/>
  <c r="G38" i="31"/>
  <c r="K38" i="31"/>
  <c r="O38" i="31"/>
  <c r="S38" i="31"/>
  <c r="W38" i="31"/>
  <c r="Z20" i="31"/>
  <c r="Z24" i="31"/>
  <c r="D38" i="31"/>
  <c r="H38" i="31"/>
  <c r="L38" i="31"/>
  <c r="P38" i="31"/>
  <c r="T38" i="31"/>
  <c r="X38" i="31"/>
  <c r="Z17" i="31"/>
  <c r="Z21" i="31"/>
  <c r="Z25" i="31"/>
  <c r="E38" i="31"/>
  <c r="I38" i="31"/>
  <c r="M38" i="31"/>
  <c r="Q38" i="31"/>
  <c r="U38" i="31"/>
  <c r="B38" i="31"/>
  <c r="F38" i="31"/>
  <c r="J38" i="31"/>
  <c r="N38" i="31"/>
  <c r="R38" i="31"/>
  <c r="O79" i="33"/>
  <c r="U7" i="33"/>
  <c r="U79" i="33"/>
  <c r="V79" i="33" s="1"/>
  <c r="D145" i="33"/>
  <c r="D73" i="33" s="1"/>
  <c r="O7" i="33"/>
  <c r="P7" i="33" s="1"/>
  <c r="H62" i="3"/>
  <c r="G62" i="3"/>
  <c r="I62" i="3"/>
  <c r="B62" i="9"/>
  <c r="X64" i="9"/>
  <c r="AC14" i="9"/>
  <c r="AC22" i="9"/>
  <c r="AE22" i="9" s="1"/>
  <c r="T62" i="9"/>
  <c r="X62" i="9"/>
  <c r="B64" i="9"/>
  <c r="AF11" i="8"/>
  <c r="AG11" i="8" s="1"/>
  <c r="AE57" i="8"/>
  <c r="AF8" i="8"/>
  <c r="AG8" i="8" s="1"/>
  <c r="K46" i="33"/>
  <c r="K54" i="33"/>
  <c r="G79" i="33"/>
  <c r="I83" i="33"/>
  <c r="H58" i="8"/>
  <c r="G59" i="8"/>
  <c r="AF33" i="8"/>
  <c r="AG33" i="8" s="1"/>
  <c r="AF12" i="8"/>
  <c r="AF16" i="8"/>
  <c r="AG16" i="8" s="1"/>
  <c r="AF5" i="8"/>
  <c r="AG5" i="8" s="1"/>
  <c r="AF22" i="8"/>
  <c r="AG22" i="8" s="1"/>
  <c r="AF44" i="8"/>
  <c r="AG44" i="8" s="1"/>
  <c r="AF19" i="8"/>
  <c r="AG19" i="8" s="1"/>
  <c r="E62" i="8"/>
  <c r="J62" i="8"/>
  <c r="K7" i="33"/>
  <c r="H129" i="33"/>
  <c r="J28" i="33"/>
  <c r="J102" i="33"/>
  <c r="G107" i="33"/>
  <c r="H11" i="33"/>
  <c r="I80" i="33"/>
  <c r="K51" i="33"/>
  <c r="J130" i="33"/>
  <c r="I144" i="33"/>
  <c r="G84" i="33"/>
  <c r="K45" i="33"/>
  <c r="G72" i="33"/>
  <c r="J82" i="33"/>
  <c r="H89" i="33"/>
  <c r="H103" i="33"/>
  <c r="K72" i="33"/>
  <c r="G34" i="33"/>
  <c r="J11" i="33"/>
  <c r="H81" i="33"/>
  <c r="J83" i="33"/>
  <c r="K14" i="33"/>
  <c r="K36" i="33"/>
  <c r="J129" i="33"/>
  <c r="I123" i="33"/>
  <c r="G71" i="33"/>
  <c r="J34" i="33"/>
  <c r="J81" i="33"/>
  <c r="I12" i="33"/>
  <c r="K35" i="33"/>
  <c r="G30" i="33"/>
  <c r="K13" i="33"/>
  <c r="G17" i="33"/>
  <c r="G145" i="33"/>
  <c r="K12" i="33"/>
  <c r="J52" i="33"/>
  <c r="G129" i="33"/>
  <c r="K71" i="33"/>
  <c r="J106" i="33"/>
  <c r="J110" i="33"/>
  <c r="K8" i="33"/>
  <c r="K15" i="33"/>
  <c r="J71" i="33"/>
  <c r="J123" i="33"/>
  <c r="AA11" i="33"/>
  <c r="G54" i="33"/>
  <c r="G85" i="33"/>
  <c r="G87" i="33"/>
  <c r="I128" i="33"/>
  <c r="I143" i="33"/>
  <c r="U71" i="8"/>
  <c r="K57" i="33"/>
  <c r="G52" i="33"/>
  <c r="H54" i="33"/>
  <c r="H85" i="33"/>
  <c r="H32" i="33"/>
  <c r="H124" i="33"/>
  <c r="G130" i="33"/>
  <c r="AF47" i="8"/>
  <c r="AG47" i="8" s="1"/>
  <c r="G143" i="33"/>
  <c r="H144" i="33"/>
  <c r="P11" i="33"/>
  <c r="J31" i="33"/>
  <c r="G35" i="33"/>
  <c r="I57" i="33"/>
  <c r="H72" i="33"/>
  <c r="I81" i="33"/>
  <c r="G88" i="33"/>
  <c r="K25" i="33"/>
  <c r="K27" i="33"/>
  <c r="I129" i="33"/>
  <c r="H143" i="33"/>
  <c r="J144" i="33"/>
  <c r="K63" i="8"/>
  <c r="H58" i="33"/>
  <c r="L63" i="8"/>
  <c r="G10" i="33"/>
  <c r="I117" i="33"/>
  <c r="G15" i="33"/>
  <c r="H57" i="33"/>
  <c r="G81" i="33"/>
  <c r="H84" i="33"/>
  <c r="G18" i="33"/>
  <c r="H130" i="33"/>
  <c r="J143" i="33"/>
  <c r="V11" i="33"/>
  <c r="G46" i="33"/>
  <c r="J51" i="33"/>
  <c r="K53" i="33"/>
  <c r="I102" i="33"/>
  <c r="J122" i="33"/>
  <c r="I130" i="33"/>
  <c r="W64" i="8"/>
  <c r="I130" i="8"/>
  <c r="H131" i="8"/>
  <c r="K16" i="33"/>
  <c r="AG12" i="8"/>
  <c r="K44" i="33"/>
  <c r="G43" i="33"/>
  <c r="J43" i="33"/>
  <c r="C72" i="8"/>
  <c r="G8" i="33"/>
  <c r="K31" i="33"/>
  <c r="G51" i="33"/>
  <c r="K58" i="33"/>
  <c r="J80" i="33"/>
  <c r="H96" i="33"/>
  <c r="H107" i="33"/>
  <c r="I109" i="33"/>
  <c r="J115" i="33"/>
  <c r="G119" i="33"/>
  <c r="AF17" i="8"/>
  <c r="AG17" i="8" s="1"/>
  <c r="AF53" i="8"/>
  <c r="AG53" i="8" s="1"/>
  <c r="AB57" i="8"/>
  <c r="AF57" i="8" s="1"/>
  <c r="N63" i="8"/>
  <c r="C69" i="8"/>
  <c r="T72" i="8"/>
  <c r="J18" i="33"/>
  <c r="H29" i="33"/>
  <c r="G80" i="33"/>
  <c r="I82" i="33"/>
  <c r="H88" i="33"/>
  <c r="I103" i="33"/>
  <c r="AF7" i="8"/>
  <c r="AG7" i="8" s="1"/>
  <c r="S63" i="8"/>
  <c r="H69" i="8"/>
  <c r="V72" i="8"/>
  <c r="J48" i="33"/>
  <c r="J103" i="33"/>
  <c r="K43" i="33"/>
  <c r="T63" i="8"/>
  <c r="B70" i="8"/>
  <c r="J9" i="33"/>
  <c r="G16" i="33"/>
  <c r="K18" i="33"/>
  <c r="I36" i="33"/>
  <c r="H71" i="33"/>
  <c r="H80" i="33"/>
  <c r="G83" i="33"/>
  <c r="G86" i="33"/>
  <c r="I115" i="33"/>
  <c r="H125" i="33"/>
  <c r="AF4" i="8"/>
  <c r="AG4" i="8" s="1"/>
  <c r="AF20" i="8"/>
  <c r="AG20" i="8" s="1"/>
  <c r="AF27" i="8"/>
  <c r="AG27" i="8" s="1"/>
  <c r="C63" i="8"/>
  <c r="V63" i="8"/>
  <c r="D70" i="8"/>
  <c r="G9" i="33"/>
  <c r="H12" i="33"/>
  <c r="I71" i="33"/>
  <c r="H79" i="33"/>
  <c r="H82" i="33"/>
  <c r="G99" i="33"/>
  <c r="AF13" i="8"/>
  <c r="AG13" i="8" s="1"/>
  <c r="AF15" i="8"/>
  <c r="AG15" i="8" s="1"/>
  <c r="AF26" i="8"/>
  <c r="AG26" i="8" s="1"/>
  <c r="AF48" i="8"/>
  <c r="AG48" i="8" s="1"/>
  <c r="AF50" i="8"/>
  <c r="AF52" i="8"/>
  <c r="AG52" i="8" s="1"/>
  <c r="D63" i="8"/>
  <c r="D64" i="8"/>
  <c r="B71" i="8"/>
  <c r="J8" i="33"/>
  <c r="K49" i="33"/>
  <c r="H9" i="33"/>
  <c r="G13" i="33"/>
  <c r="H46" i="33"/>
  <c r="G82" i="33"/>
  <c r="H83" i="33"/>
  <c r="H99" i="33"/>
  <c r="H101" i="33"/>
  <c r="K42" i="33"/>
  <c r="H120" i="33"/>
  <c r="AF10" i="8"/>
  <c r="AF30" i="8"/>
  <c r="AG30" i="8" s="1"/>
  <c r="AF40" i="8"/>
  <c r="AG40" i="8" s="1"/>
  <c r="AF42" i="8"/>
  <c r="AG42" i="8" s="1"/>
  <c r="F63" i="8"/>
  <c r="E64" i="8"/>
  <c r="C71" i="8"/>
  <c r="U68" i="8"/>
  <c r="Z30" i="8"/>
  <c r="G27" i="33"/>
  <c r="G50" i="33"/>
  <c r="G48" i="33"/>
  <c r="I69" i="8"/>
  <c r="I70" i="8"/>
  <c r="E71" i="8"/>
  <c r="D72" i="8"/>
  <c r="H52" i="33"/>
  <c r="H50" i="33"/>
  <c r="J126" i="33"/>
  <c r="K69" i="8"/>
  <c r="J70" i="8"/>
  <c r="J71" i="8"/>
  <c r="F72" i="8"/>
  <c r="I48" i="33"/>
  <c r="P69" i="8"/>
  <c r="L70" i="8"/>
  <c r="K71" i="8"/>
  <c r="K72" i="8"/>
  <c r="K52" i="33"/>
  <c r="H123" i="33"/>
  <c r="Q69" i="8"/>
  <c r="Q70" i="8"/>
  <c r="M71" i="8"/>
  <c r="L72" i="8"/>
  <c r="I52" i="33"/>
  <c r="I124" i="33"/>
  <c r="AF56" i="8"/>
  <c r="AG56" i="8" s="1"/>
  <c r="S69" i="8"/>
  <c r="R70" i="8"/>
  <c r="R71" i="8"/>
  <c r="N72" i="8"/>
  <c r="K28" i="33"/>
  <c r="X69" i="8"/>
  <c r="T70" i="8"/>
  <c r="S71" i="8"/>
  <c r="S72" i="8"/>
  <c r="J36" i="33"/>
  <c r="AF43" i="8"/>
  <c r="AG43" i="8" s="1"/>
  <c r="J107" i="33"/>
  <c r="G36" i="33"/>
  <c r="H26" i="33"/>
  <c r="I26" i="33"/>
  <c r="AF45" i="8"/>
  <c r="AG45" i="8" s="1"/>
  <c r="F68" i="8"/>
  <c r="G26" i="33"/>
  <c r="V68" i="8"/>
  <c r="O66" i="8"/>
  <c r="J38" i="33"/>
  <c r="V66" i="8"/>
  <c r="G38" i="33"/>
  <c r="G40" i="33"/>
  <c r="N66" i="8"/>
  <c r="H127" i="33"/>
  <c r="AF31" i="8"/>
  <c r="AG31" i="8" s="1"/>
  <c r="V65" i="8"/>
  <c r="AF21" i="8"/>
  <c r="AG21" i="8" s="1"/>
  <c r="G91" i="33"/>
  <c r="G19" i="33"/>
  <c r="H65" i="8"/>
  <c r="K22" i="33"/>
  <c r="K19" i="33"/>
  <c r="U65" i="8"/>
  <c r="G94" i="33"/>
  <c r="H92" i="33"/>
  <c r="G20" i="33"/>
  <c r="F65" i="8"/>
  <c r="AF23" i="8"/>
  <c r="AG23" i="8" s="1"/>
  <c r="M65" i="8"/>
  <c r="K23" i="33"/>
  <c r="K20" i="33"/>
  <c r="H19" i="33"/>
  <c r="E65" i="8"/>
  <c r="X65" i="8"/>
  <c r="G23" i="33"/>
  <c r="G95" i="33"/>
  <c r="K21" i="33"/>
  <c r="G24" i="33"/>
  <c r="N65" i="8"/>
  <c r="W66" i="8"/>
  <c r="P65" i="8"/>
  <c r="G22" i="33"/>
  <c r="K24" i="33"/>
  <c r="K41" i="33"/>
  <c r="K39" i="33"/>
  <c r="J40" i="33"/>
  <c r="I40" i="33"/>
  <c r="J114" i="33"/>
  <c r="Q66" i="8"/>
  <c r="F66" i="8"/>
  <c r="G42" i="33"/>
  <c r="H55" i="33"/>
  <c r="G111" i="33"/>
  <c r="I114" i="33"/>
  <c r="G66" i="8"/>
  <c r="G96" i="33"/>
  <c r="H111" i="33"/>
  <c r="AF29" i="8"/>
  <c r="AG29" i="8" s="1"/>
  <c r="I66" i="8"/>
  <c r="I44" i="33"/>
  <c r="J44" i="33"/>
  <c r="J127" i="33"/>
  <c r="K33" i="33"/>
  <c r="O67" i="8"/>
  <c r="AF32" i="8"/>
  <c r="AG32" i="8" s="1"/>
  <c r="AF34" i="8"/>
  <c r="AG34" i="8" s="1"/>
  <c r="AF41" i="8"/>
  <c r="AG41" i="8" s="1"/>
  <c r="P67" i="8"/>
  <c r="H119" i="33"/>
  <c r="I32" i="33"/>
  <c r="I34" i="33"/>
  <c r="H45" i="33"/>
  <c r="AF36" i="8"/>
  <c r="AG36" i="8" s="1"/>
  <c r="AF38" i="8"/>
  <c r="AG38" i="8" s="1"/>
  <c r="R67" i="8"/>
  <c r="W67" i="8"/>
  <c r="G103" i="33"/>
  <c r="J118" i="33"/>
  <c r="I119" i="33"/>
  <c r="B67" i="8"/>
  <c r="X67" i="8"/>
  <c r="G31" i="33"/>
  <c r="K34" i="33"/>
  <c r="G115" i="33"/>
  <c r="G67" i="8"/>
  <c r="I106" i="33"/>
  <c r="H115" i="33"/>
  <c r="AF37" i="8"/>
  <c r="AG37" i="8" s="1"/>
  <c r="H67" i="8"/>
  <c r="AF35" i="8"/>
  <c r="AG35" i="8" s="1"/>
  <c r="J67" i="8"/>
  <c r="K55" i="33"/>
  <c r="I127" i="33"/>
  <c r="H15" i="33"/>
  <c r="J15" i="33"/>
  <c r="I15" i="33"/>
  <c r="J42" i="33"/>
  <c r="I42" i="33"/>
  <c r="J12" i="33"/>
  <c r="I14" i="33"/>
  <c r="I28" i="33"/>
  <c r="K29" i="33"/>
  <c r="K47" i="33"/>
  <c r="K50" i="33"/>
  <c r="J86" i="33"/>
  <c r="I86" i="33"/>
  <c r="J90" i="33"/>
  <c r="I90" i="33"/>
  <c r="J94" i="33"/>
  <c r="I94" i="33"/>
  <c r="J98" i="33"/>
  <c r="I98" i="33"/>
  <c r="K30" i="33"/>
  <c r="G113" i="33"/>
  <c r="G41" i="33"/>
  <c r="H121" i="33"/>
  <c r="J121" i="33"/>
  <c r="I121" i="33"/>
  <c r="AF51" i="8"/>
  <c r="AG51" i="8" s="1"/>
  <c r="J91" i="33"/>
  <c r="I91" i="33"/>
  <c r="H105" i="33"/>
  <c r="H53" i="33"/>
  <c r="G21" i="33"/>
  <c r="I99" i="33"/>
  <c r="I105" i="33"/>
  <c r="H113" i="33"/>
  <c r="J113" i="33"/>
  <c r="AF49" i="8"/>
  <c r="AG49" i="8" s="1"/>
  <c r="J95" i="33"/>
  <c r="I95" i="33"/>
  <c r="G121" i="33"/>
  <c r="G49" i="33"/>
  <c r="H42" i="33"/>
  <c r="H8" i="33"/>
  <c r="K10" i="33"/>
  <c r="K11" i="33"/>
  <c r="K17" i="33"/>
  <c r="J26" i="33"/>
  <c r="G32" i="33"/>
  <c r="G44" i="33"/>
  <c r="H49" i="33"/>
  <c r="J85" i="33"/>
  <c r="I85" i="33"/>
  <c r="H87" i="33"/>
  <c r="J89" i="33"/>
  <c r="I89" i="33"/>
  <c r="H91" i="33"/>
  <c r="H95" i="33"/>
  <c r="I97" i="33"/>
  <c r="J99" i="33"/>
  <c r="J105" i="33"/>
  <c r="I111" i="33"/>
  <c r="J119" i="33"/>
  <c r="G125" i="33"/>
  <c r="G53" i="33"/>
  <c r="J125" i="33"/>
  <c r="I125" i="33"/>
  <c r="J19" i="33"/>
  <c r="I19" i="33"/>
  <c r="J79" i="33"/>
  <c r="I79" i="33"/>
  <c r="K6" i="33"/>
  <c r="I8" i="33"/>
  <c r="H18" i="33"/>
  <c r="H22" i="33"/>
  <c r="G28" i="33"/>
  <c r="J32" i="33"/>
  <c r="H35" i="33"/>
  <c r="H44" i="33"/>
  <c r="G90" i="33"/>
  <c r="G98" i="33"/>
  <c r="I101" i="33"/>
  <c r="G109" i="33"/>
  <c r="G37" i="33"/>
  <c r="K38" i="33"/>
  <c r="J111" i="33"/>
  <c r="J46" i="33"/>
  <c r="I46" i="33"/>
  <c r="J87" i="33"/>
  <c r="I87" i="33"/>
  <c r="AF54" i="8"/>
  <c r="AG54" i="8" s="1"/>
  <c r="I9" i="33"/>
  <c r="H13" i="33"/>
  <c r="H14" i="33"/>
  <c r="I18" i="33"/>
  <c r="K26" i="33"/>
  <c r="K32" i="33"/>
  <c r="H34" i="33"/>
  <c r="K37" i="33"/>
  <c r="H41" i="33"/>
  <c r="I43" i="33"/>
  <c r="H48" i="33"/>
  <c r="K48" i="33"/>
  <c r="J54" i="33"/>
  <c r="I54" i="33"/>
  <c r="J84" i="33"/>
  <c r="I84" i="33"/>
  <c r="H86" i="33"/>
  <c r="J88" i="33"/>
  <c r="I88" i="33"/>
  <c r="H90" i="33"/>
  <c r="J92" i="33"/>
  <c r="I92" i="33"/>
  <c r="H94" i="33"/>
  <c r="J96" i="33"/>
  <c r="I96" i="33"/>
  <c r="H98" i="33"/>
  <c r="J101" i="33"/>
  <c r="H109" i="33"/>
  <c r="J109" i="33"/>
  <c r="I113" i="33"/>
  <c r="G117" i="33"/>
  <c r="G45" i="33"/>
  <c r="H40" i="33"/>
  <c r="K40" i="33"/>
  <c r="G101" i="33"/>
  <c r="G29" i="33"/>
  <c r="G39" i="33"/>
  <c r="G89" i="33"/>
  <c r="G93" i="33"/>
  <c r="G105" i="33"/>
  <c r="G33" i="33"/>
  <c r="I107" i="33"/>
  <c r="H117" i="33"/>
  <c r="J117" i="33"/>
  <c r="H28" i="33"/>
  <c r="H36" i="33"/>
  <c r="H43" i="33"/>
  <c r="H78" i="33"/>
  <c r="G100" i="33"/>
  <c r="G104" i="33"/>
  <c r="G108" i="33"/>
  <c r="G112" i="33"/>
  <c r="G116" i="33"/>
  <c r="I118" i="33"/>
  <c r="G120" i="33"/>
  <c r="I122" i="33"/>
  <c r="G124" i="33"/>
  <c r="I126" i="33"/>
  <c r="AF24" i="8"/>
  <c r="AG24" i="8" s="1"/>
  <c r="AF46" i="8"/>
  <c r="AG46" i="8" s="1"/>
  <c r="K62" i="8"/>
  <c r="G64" i="8"/>
  <c r="H100" i="33"/>
  <c r="H104" i="33"/>
  <c r="H108" i="33"/>
  <c r="H112" i="33"/>
  <c r="H116" i="33"/>
  <c r="AF18" i="8"/>
  <c r="AG18" i="8" s="1"/>
  <c r="M62" i="8"/>
  <c r="G123" i="33"/>
  <c r="G127" i="33"/>
  <c r="AG10" i="8"/>
  <c r="S64" i="8"/>
  <c r="K64" i="8"/>
  <c r="C64" i="8"/>
  <c r="R64" i="8"/>
  <c r="J64" i="8"/>
  <c r="B64" i="8"/>
  <c r="Q64" i="8"/>
  <c r="I64" i="8"/>
  <c r="X64" i="8"/>
  <c r="P64" i="8"/>
  <c r="H64" i="8"/>
  <c r="V64" i="8"/>
  <c r="N64" i="8"/>
  <c r="F64" i="8"/>
  <c r="AF39" i="8"/>
  <c r="AG39" i="8" s="1"/>
  <c r="AG50" i="8"/>
  <c r="R62" i="8"/>
  <c r="M64" i="8"/>
  <c r="AC57" i="8"/>
  <c r="O64" i="8"/>
  <c r="I100" i="33"/>
  <c r="G102" i="33"/>
  <c r="I104" i="33"/>
  <c r="G106" i="33"/>
  <c r="I108" i="33"/>
  <c r="G110" i="33"/>
  <c r="I112" i="33"/>
  <c r="G114" i="33"/>
  <c r="I116" i="33"/>
  <c r="G118" i="33"/>
  <c r="I120" i="33"/>
  <c r="G122" i="33"/>
  <c r="G126" i="33"/>
  <c r="Q62" i="8"/>
  <c r="I62" i="8"/>
  <c r="X62" i="8"/>
  <c r="P62" i="8"/>
  <c r="H62" i="8"/>
  <c r="W62" i="8"/>
  <c r="O62" i="8"/>
  <c r="G62" i="8"/>
  <c r="V62" i="8"/>
  <c r="N62" i="8"/>
  <c r="F62" i="8"/>
  <c r="T62" i="8"/>
  <c r="L62" i="8"/>
  <c r="D62" i="8"/>
  <c r="AF25" i="8"/>
  <c r="AG25" i="8" s="1"/>
  <c r="AD57" i="8"/>
  <c r="B62" i="8"/>
  <c r="U62" i="8"/>
  <c r="T64" i="8"/>
  <c r="J100" i="33"/>
  <c r="H102" i="33"/>
  <c r="J104" i="33"/>
  <c r="H106" i="33"/>
  <c r="J108" i="33"/>
  <c r="H110" i="33"/>
  <c r="J112" i="33"/>
  <c r="H114" i="33"/>
  <c r="J116" i="33"/>
  <c r="H118" i="33"/>
  <c r="J120" i="33"/>
  <c r="H122" i="33"/>
  <c r="J124" i="33"/>
  <c r="H126" i="33"/>
  <c r="AF6" i="8"/>
  <c r="AG6" i="8" s="1"/>
  <c r="AF9" i="8"/>
  <c r="AG9" i="8" s="1"/>
  <c r="AF14" i="8"/>
  <c r="AG14" i="8" s="1"/>
  <c r="AF28" i="8"/>
  <c r="AG28" i="8" s="1"/>
  <c r="AF55" i="8"/>
  <c r="AG55" i="8" s="1"/>
  <c r="C62" i="8"/>
  <c r="U64" i="8"/>
  <c r="E63" i="8"/>
  <c r="M63" i="8"/>
  <c r="U63" i="8"/>
  <c r="G65" i="8"/>
  <c r="O65" i="8"/>
  <c r="W65" i="8"/>
  <c r="H66" i="8"/>
  <c r="P66" i="8"/>
  <c r="X66" i="8"/>
  <c r="I67" i="8"/>
  <c r="Q67" i="8"/>
  <c r="D68" i="8"/>
  <c r="B69" i="8"/>
  <c r="J69" i="8"/>
  <c r="R69" i="8"/>
  <c r="C70" i="8"/>
  <c r="K70" i="8"/>
  <c r="S70" i="8"/>
  <c r="D71" i="8"/>
  <c r="L71" i="8"/>
  <c r="T71" i="8"/>
  <c r="E72" i="8"/>
  <c r="M72" i="8"/>
  <c r="U72" i="8"/>
  <c r="G63" i="8"/>
  <c r="O63" i="8"/>
  <c r="W63" i="8"/>
  <c r="I65" i="8"/>
  <c r="Q65" i="8"/>
  <c r="B66" i="8"/>
  <c r="J66" i="8"/>
  <c r="R66" i="8"/>
  <c r="C67" i="8"/>
  <c r="K67" i="8"/>
  <c r="S67" i="8"/>
  <c r="I68" i="8"/>
  <c r="D69" i="8"/>
  <c r="L69" i="8"/>
  <c r="T69" i="8"/>
  <c r="E70" i="8"/>
  <c r="M70" i="8"/>
  <c r="U70" i="8"/>
  <c r="F71" i="8"/>
  <c r="N71" i="8"/>
  <c r="V71" i="8"/>
  <c r="G72" i="8"/>
  <c r="O72" i="8"/>
  <c r="W72" i="8"/>
  <c r="H63" i="8"/>
  <c r="P63" i="8"/>
  <c r="X63" i="8"/>
  <c r="B65" i="8"/>
  <c r="J65" i="8"/>
  <c r="R65" i="8"/>
  <c r="C66" i="8"/>
  <c r="K66" i="8"/>
  <c r="S66" i="8"/>
  <c r="D67" i="8"/>
  <c r="L67" i="8"/>
  <c r="T67" i="8"/>
  <c r="L68" i="8"/>
  <c r="E69" i="8"/>
  <c r="M69" i="8"/>
  <c r="U69" i="8"/>
  <c r="F70" i="8"/>
  <c r="N70" i="8"/>
  <c r="V70" i="8"/>
  <c r="G71" i="8"/>
  <c r="O71" i="8"/>
  <c r="W71" i="8"/>
  <c r="H72" i="8"/>
  <c r="P72" i="8"/>
  <c r="X72" i="8"/>
  <c r="I63" i="8"/>
  <c r="Q63" i="8"/>
  <c r="C65" i="8"/>
  <c r="K65" i="8"/>
  <c r="S65" i="8"/>
  <c r="D66" i="8"/>
  <c r="L66" i="8"/>
  <c r="T66" i="8"/>
  <c r="E67" i="8"/>
  <c r="M67" i="8"/>
  <c r="U67" i="8"/>
  <c r="N68" i="8"/>
  <c r="F69" i="8"/>
  <c r="N69" i="8"/>
  <c r="V69" i="8"/>
  <c r="G70" i="8"/>
  <c r="O70" i="8"/>
  <c r="W70" i="8"/>
  <c r="H71" i="8"/>
  <c r="P71" i="8"/>
  <c r="X71" i="8"/>
  <c r="I72" i="8"/>
  <c r="Q72" i="8"/>
  <c r="B63" i="8"/>
  <c r="J63" i="8"/>
  <c r="D65" i="8"/>
  <c r="L65" i="8"/>
  <c r="E66" i="8"/>
  <c r="M66" i="8"/>
  <c r="F67" i="8"/>
  <c r="N67" i="8"/>
  <c r="Q68" i="8"/>
  <c r="G69" i="8"/>
  <c r="O69" i="8"/>
  <c r="H70" i="8"/>
  <c r="P70" i="8"/>
  <c r="I71" i="8"/>
  <c r="B72" i="8"/>
  <c r="J72" i="8"/>
  <c r="G68" i="8"/>
  <c r="O68" i="8"/>
  <c r="W68" i="8"/>
  <c r="H68" i="8"/>
  <c r="P68" i="8"/>
  <c r="X68" i="8"/>
  <c r="B68" i="8"/>
  <c r="J68" i="8"/>
  <c r="R68" i="8"/>
  <c r="C68" i="8"/>
  <c r="K68" i="8"/>
  <c r="S68" i="8"/>
  <c r="E68" i="8"/>
  <c r="M68" i="8"/>
  <c r="J6" i="33" l="1"/>
  <c r="J93" i="33"/>
  <c r="AC56" i="9"/>
  <c r="AE14" i="9"/>
  <c r="AT11" i="9" s="1"/>
  <c r="AS11" i="9"/>
  <c r="AU11" i="9" s="1"/>
  <c r="G78" i="33"/>
  <c r="J97" i="33"/>
  <c r="J21" i="33"/>
  <c r="I78" i="33"/>
  <c r="I6" i="33"/>
  <c r="H93" i="33"/>
  <c r="H97" i="33"/>
  <c r="J78" i="33"/>
  <c r="V154" i="33"/>
  <c r="W154" i="33" s="1"/>
  <c r="O154" i="33"/>
  <c r="I62" i="5"/>
  <c r="H62" i="5"/>
  <c r="G62" i="5"/>
  <c r="S11" i="5"/>
  <c r="S10" i="5"/>
  <c r="G97" i="33"/>
  <c r="I93" i="33"/>
  <c r="H128" i="33"/>
  <c r="J128" i="33"/>
  <c r="G128" i="33"/>
  <c r="AD65" i="31"/>
  <c r="X76" i="31"/>
  <c r="AC65" i="31"/>
  <c r="U76" i="31"/>
  <c r="AB65" i="31"/>
  <c r="C76" i="31"/>
  <c r="AE85" i="9"/>
  <c r="AF85" i="9" s="1"/>
  <c r="U9" i="33"/>
  <c r="U12" i="33" s="1"/>
  <c r="V12" i="33" s="1"/>
  <c r="U81" i="33"/>
  <c r="V81" i="33" s="1"/>
  <c r="O9" i="33"/>
  <c r="O81" i="33"/>
  <c r="P81" i="33" s="1"/>
  <c r="H35" i="5"/>
  <c r="G35" i="5"/>
  <c r="I35" i="5"/>
  <c r="J145" i="33"/>
  <c r="H145" i="33"/>
  <c r="V7" i="33"/>
  <c r="Z7" i="33"/>
  <c r="I145" i="33"/>
  <c r="P79" i="33"/>
  <c r="AE56" i="9"/>
  <c r="AF22" i="9"/>
  <c r="AF14" i="9"/>
  <c r="J50" i="33"/>
  <c r="K59" i="33"/>
  <c r="H31" i="33"/>
  <c r="I58" i="8"/>
  <c r="H59" i="8"/>
  <c r="H131" i="33"/>
  <c r="I140" i="33"/>
  <c r="G7" i="33"/>
  <c r="I50" i="33"/>
  <c r="G12" i="33"/>
  <c r="H68" i="33"/>
  <c r="J10" i="33"/>
  <c r="I11" i="33"/>
  <c r="H51" i="33"/>
  <c r="K60" i="33"/>
  <c r="G64" i="33"/>
  <c r="I38" i="33"/>
  <c r="K61" i="33"/>
  <c r="H38" i="33"/>
  <c r="I133" i="33"/>
  <c r="J140" i="33"/>
  <c r="H10" i="33"/>
  <c r="I68" i="33"/>
  <c r="K64" i="33"/>
  <c r="K66" i="33"/>
  <c r="I35" i="33"/>
  <c r="K62" i="33"/>
  <c r="J35" i="33"/>
  <c r="I31" i="33"/>
  <c r="K67" i="33"/>
  <c r="I51" i="33"/>
  <c r="G67" i="33"/>
  <c r="I141" i="33"/>
  <c r="H140" i="33"/>
  <c r="H133" i="33"/>
  <c r="I10" i="33"/>
  <c r="I72" i="33"/>
  <c r="J72" i="33"/>
  <c r="I131" i="8"/>
  <c r="J130" i="8"/>
  <c r="J57" i="33"/>
  <c r="G57" i="33"/>
  <c r="K68" i="33"/>
  <c r="G139" i="33"/>
  <c r="J13" i="33"/>
  <c r="H141" i="33"/>
  <c r="I13" i="33"/>
  <c r="G11" i="33"/>
  <c r="K9" i="33"/>
  <c r="G56" i="33"/>
  <c r="K56" i="33"/>
  <c r="I56" i="33"/>
  <c r="J56" i="33"/>
  <c r="H56" i="33"/>
  <c r="I58" i="33"/>
  <c r="G58" i="33"/>
  <c r="J29" i="33"/>
  <c r="Z46" i="8"/>
  <c r="K65" i="33"/>
  <c r="Z18" i="8"/>
  <c r="I22" i="33"/>
  <c r="Z55" i="8"/>
  <c r="Z48" i="8"/>
  <c r="Z9" i="8"/>
  <c r="P73" i="8"/>
  <c r="Z32" i="8"/>
  <c r="H73" i="8"/>
  <c r="J22" i="33"/>
  <c r="I55" i="33"/>
  <c r="K73" i="8"/>
  <c r="H21" i="33"/>
  <c r="Z50" i="8"/>
  <c r="Z39" i="8"/>
  <c r="Z23" i="8"/>
  <c r="Q73" i="8"/>
  <c r="F73" i="8"/>
  <c r="Z31" i="8"/>
  <c r="Z14" i="8"/>
  <c r="L73" i="8"/>
  <c r="I73" i="8"/>
  <c r="Z36" i="8"/>
  <c r="U73" i="8"/>
  <c r="Z56" i="8"/>
  <c r="Z28" i="8"/>
  <c r="M73" i="8"/>
  <c r="D73" i="8"/>
  <c r="G55" i="33"/>
  <c r="J55" i="33"/>
  <c r="J30" i="33"/>
  <c r="I30" i="33"/>
  <c r="H30" i="33"/>
  <c r="Z10" i="8"/>
  <c r="AG57" i="8"/>
  <c r="Z21" i="8"/>
  <c r="Z20" i="8"/>
  <c r="I47" i="33"/>
  <c r="G47" i="33"/>
  <c r="Z35" i="8"/>
  <c r="Z25" i="8"/>
  <c r="Z13" i="8"/>
  <c r="Z12" i="8"/>
  <c r="Z43" i="8"/>
  <c r="E73" i="8"/>
  <c r="Z22" i="8"/>
  <c r="Z6" i="8"/>
  <c r="Z51" i="8"/>
  <c r="X73" i="8"/>
  <c r="Z34" i="8"/>
  <c r="W73" i="8"/>
  <c r="Z27" i="8"/>
  <c r="O73" i="8"/>
  <c r="Z19" i="8"/>
  <c r="Z53" i="8"/>
  <c r="B73" i="8"/>
  <c r="Z16" i="8"/>
  <c r="Z26" i="8"/>
  <c r="Z49" i="8"/>
  <c r="G73" i="8"/>
  <c r="Z11" i="8"/>
  <c r="Z5" i="8"/>
  <c r="Z47" i="8"/>
  <c r="Z7" i="8"/>
  <c r="J47" i="33"/>
  <c r="Z42" i="8"/>
  <c r="Z37" i="8"/>
  <c r="Z54" i="8"/>
  <c r="Z29" i="8"/>
  <c r="J73" i="8"/>
  <c r="Z8" i="8"/>
  <c r="Z17" i="8"/>
  <c r="Z44" i="8"/>
  <c r="V73" i="8"/>
  <c r="Z52" i="8"/>
  <c r="T73" i="8"/>
  <c r="Z40" i="8"/>
  <c r="H47" i="33"/>
  <c r="Z33" i="8"/>
  <c r="C73" i="8"/>
  <c r="J25" i="33"/>
  <c r="H25" i="33"/>
  <c r="I25" i="33"/>
  <c r="I136" i="33"/>
  <c r="H136" i="33"/>
  <c r="J136" i="33"/>
  <c r="J131" i="33"/>
  <c r="I41" i="33"/>
  <c r="I20" i="33"/>
  <c r="H20" i="33"/>
  <c r="J20" i="33"/>
  <c r="I45" i="33"/>
  <c r="I49" i="33"/>
  <c r="I17" i="33"/>
  <c r="H17" i="33"/>
  <c r="J17" i="33"/>
  <c r="H33" i="33"/>
  <c r="I33" i="33"/>
  <c r="J33" i="33"/>
  <c r="I53" i="33"/>
  <c r="G131" i="33"/>
  <c r="G59" i="33"/>
  <c r="H24" i="33"/>
  <c r="J24" i="33"/>
  <c r="I24" i="33"/>
  <c r="H69" i="33"/>
  <c r="K69" i="33"/>
  <c r="G133" i="33"/>
  <c r="G61" i="33"/>
  <c r="J7" i="33"/>
  <c r="H7" i="33"/>
  <c r="I7" i="33"/>
  <c r="G14" i="33"/>
  <c r="J14" i="33"/>
  <c r="H16" i="33"/>
  <c r="I16" i="33"/>
  <c r="J16" i="33"/>
  <c r="J53" i="33"/>
  <c r="J49" i="33"/>
  <c r="J41" i="33"/>
  <c r="G135" i="33"/>
  <c r="G63" i="33"/>
  <c r="I29" i="33"/>
  <c r="G141" i="33"/>
  <c r="J141" i="33"/>
  <c r="I139" i="33"/>
  <c r="H139" i="33"/>
  <c r="J139" i="33"/>
  <c r="I135" i="33"/>
  <c r="H135" i="33"/>
  <c r="J135" i="33"/>
  <c r="K63" i="33"/>
  <c r="I134" i="33"/>
  <c r="H134" i="33"/>
  <c r="J134" i="33"/>
  <c r="G138" i="33"/>
  <c r="J138" i="33"/>
  <c r="H132" i="33"/>
  <c r="H138" i="33"/>
  <c r="R73" i="8"/>
  <c r="Z15" i="8"/>
  <c r="Z41" i="8"/>
  <c r="Z38" i="8"/>
  <c r="Z45" i="8"/>
  <c r="N73" i="8"/>
  <c r="Z24" i="8"/>
  <c r="S73" i="8"/>
  <c r="J133" i="33"/>
  <c r="I23" i="33"/>
  <c r="J23" i="33"/>
  <c r="H23" i="33"/>
  <c r="H37" i="33"/>
  <c r="I37" i="33"/>
  <c r="J37" i="33"/>
  <c r="H66" i="33"/>
  <c r="G134" i="33"/>
  <c r="G62" i="33"/>
  <c r="I131" i="33"/>
  <c r="I132" i="33"/>
  <c r="G132" i="33"/>
  <c r="J132" i="33"/>
  <c r="G136" i="33"/>
  <c r="I138" i="33"/>
  <c r="I39" i="33"/>
  <c r="H39" i="33"/>
  <c r="J39" i="33"/>
  <c r="H60" i="33"/>
  <c r="G140" i="33"/>
  <c r="J27" i="33"/>
  <c r="I27" i="33"/>
  <c r="H27" i="33"/>
  <c r="J45" i="33"/>
  <c r="G137" i="33"/>
  <c r="H137" i="33"/>
  <c r="J137" i="33"/>
  <c r="I137" i="33"/>
  <c r="P154" i="33" l="1"/>
  <c r="P155" i="33"/>
  <c r="AE65" i="31"/>
  <c r="AF65" i="31" s="1"/>
  <c r="P9" i="33"/>
  <c r="O12" i="33"/>
  <c r="P82" i="33"/>
  <c r="Z9" i="33"/>
  <c r="V9" i="33"/>
  <c r="AF56" i="9"/>
  <c r="J58" i="8"/>
  <c r="I59" i="8"/>
  <c r="G68" i="33"/>
  <c r="J68" i="33"/>
  <c r="J131" i="8"/>
  <c r="K130" i="8"/>
  <c r="G142" i="33"/>
  <c r="G70" i="33"/>
  <c r="Z57" i="8"/>
  <c r="J142" i="33"/>
  <c r="J70" i="33"/>
  <c r="H70" i="33"/>
  <c r="I142" i="33"/>
  <c r="K70" i="33"/>
  <c r="H142" i="33"/>
  <c r="I70" i="33"/>
  <c r="J62" i="33"/>
  <c r="I62" i="33"/>
  <c r="H62" i="33"/>
  <c r="J67" i="33"/>
  <c r="I67" i="33"/>
  <c r="H67" i="33"/>
  <c r="H64" i="33"/>
  <c r="J64" i="33"/>
  <c r="I64" i="33"/>
  <c r="I63" i="33"/>
  <c r="H63" i="33"/>
  <c r="J63" i="33"/>
  <c r="G69" i="33"/>
  <c r="J69" i="33"/>
  <c r="I69" i="33"/>
  <c r="J61" i="33"/>
  <c r="H61" i="33"/>
  <c r="I61" i="33"/>
  <c r="G66" i="33"/>
  <c r="I66" i="33"/>
  <c r="J66" i="33"/>
  <c r="G60" i="33"/>
  <c r="J60" i="33"/>
  <c r="I60" i="33"/>
  <c r="I59" i="33"/>
  <c r="H59" i="33"/>
  <c r="J65" i="33"/>
  <c r="I65" i="33"/>
  <c r="H65" i="33"/>
  <c r="Q39" i="33"/>
  <c r="K73" i="33"/>
  <c r="G65" i="33"/>
  <c r="G73" i="33"/>
  <c r="P12" i="33" l="1"/>
  <c r="Q38" i="33"/>
  <c r="K58" i="8"/>
  <c r="J59" i="8"/>
  <c r="K131" i="8"/>
  <c r="L130" i="8"/>
  <c r="J73" i="33"/>
  <c r="I73" i="33"/>
  <c r="H73" i="33"/>
  <c r="L58" i="8" l="1"/>
  <c r="K59" i="8"/>
  <c r="L131" i="8"/>
  <c r="M130" i="8"/>
  <c r="M58" i="8" l="1"/>
  <c r="L59" i="8"/>
  <c r="M131" i="8"/>
  <c r="N130" i="8"/>
  <c r="N58" i="8" l="1"/>
  <c r="M59" i="8"/>
  <c r="O130" i="8"/>
  <c r="N131" i="8"/>
  <c r="O58" i="8" l="1"/>
  <c r="N59" i="8"/>
  <c r="P130" i="8"/>
  <c r="O131" i="8"/>
  <c r="P58" i="8" l="1"/>
  <c r="O59" i="8"/>
  <c r="Q130" i="8"/>
  <c r="P131" i="8"/>
  <c r="Q58" i="8" l="1"/>
  <c r="P59" i="8"/>
  <c r="R130" i="8"/>
  <c r="Q131" i="8"/>
  <c r="R58" i="8" l="1"/>
  <c r="Q59" i="8"/>
  <c r="R131" i="8"/>
  <c r="S130" i="8"/>
  <c r="S58" i="8" l="1"/>
  <c r="R59" i="8"/>
  <c r="S131" i="8"/>
  <c r="T130" i="8"/>
  <c r="T58" i="8" l="1"/>
  <c r="S59" i="8"/>
  <c r="T131" i="8"/>
  <c r="U130" i="8"/>
  <c r="U58" i="8" l="1"/>
  <c r="T59" i="8"/>
  <c r="U131" i="8"/>
  <c r="V130" i="8"/>
  <c r="V58" i="8" l="1"/>
  <c r="U59" i="8"/>
  <c r="W130" i="8"/>
  <c r="W131" i="8" s="1"/>
  <c r="V131" i="8"/>
  <c r="W58" i="8" l="1"/>
  <c r="W59" i="8" s="1"/>
  <c r="V59" i="8"/>
</calcChain>
</file>

<file path=xl/comments1.xml><?xml version="1.0" encoding="utf-8"?>
<comments xmlns="http://schemas.openxmlformats.org/spreadsheetml/2006/main">
  <authors>
    <author>Mateo Muñoz, Angelica</author>
  </authors>
  <commentList>
    <comment ref="B75" authorId="0" shapeId="0">
      <text>
        <r>
          <rPr>
            <b/>
            <sz val="9"/>
            <color indexed="81"/>
            <rFont val="Tahoma"/>
            <family val="2"/>
          </rPr>
          <t>Mateo Muñoz, Angelica:</t>
        </r>
        <r>
          <rPr>
            <sz val="9"/>
            <color indexed="81"/>
            <rFont val="Tahoma"/>
            <family val="2"/>
          </rPr>
          <t xml:space="preserve">
No se incluye Castaño ni Nogal porque no existen datos a este respecto desagregados para secano y regadío.</t>
        </r>
      </text>
    </comment>
  </commentList>
</comments>
</file>

<file path=xl/comments2.xml><?xml version="1.0" encoding="utf-8"?>
<comments xmlns="http://schemas.openxmlformats.org/spreadsheetml/2006/main">
  <authors>
    <author>Mateo Muñoz, Angelica</author>
  </authors>
  <commentList>
    <comment ref="F6" authorId="0" shapeId="0">
      <text>
        <r>
          <rPr>
            <b/>
            <sz val="9"/>
            <color indexed="81"/>
            <rFont val="Tahoma"/>
            <charset val="1"/>
          </rPr>
          <t>Mateo Muñoz, Angelica:</t>
        </r>
        <r>
          <rPr>
            <sz val="9"/>
            <color indexed="81"/>
            <rFont val="Tahoma"/>
            <charset val="1"/>
          </rPr>
          <t xml:space="preserve">
Superficie regular en secano total</t>
        </r>
      </text>
    </comment>
    <comment ref="F68" authorId="0" shapeId="0">
      <text>
        <r>
          <rPr>
            <b/>
            <sz val="9"/>
            <color indexed="81"/>
            <rFont val="Tahoma"/>
            <charset val="1"/>
          </rPr>
          <t>Mateo Muñoz, Angelica:</t>
        </r>
        <r>
          <rPr>
            <sz val="9"/>
            <color indexed="81"/>
            <rFont val="Tahoma"/>
            <charset val="1"/>
          </rPr>
          <t xml:space="preserve">
Superficie Regular en Regadío total. </t>
        </r>
      </text>
    </comment>
  </commentList>
</comments>
</file>

<file path=xl/sharedStrings.xml><?xml version="1.0" encoding="utf-8"?>
<sst xmlns="http://schemas.openxmlformats.org/spreadsheetml/2006/main" count="4500" uniqueCount="323">
  <si>
    <t>Volver al:</t>
  </si>
  <si>
    <t>INDICE</t>
  </si>
  <si>
    <t>CCAA/PROVINCIAS</t>
  </si>
  <si>
    <t>SUPERFICIES ANUALES (ha)</t>
  </si>
  <si>
    <t>Absoluto (ha)</t>
  </si>
  <si>
    <t>Relativo</t>
  </si>
  <si>
    <t>ALMENDRO: Secano</t>
  </si>
  <si>
    <t>NOGAL: Secano</t>
  </si>
  <si>
    <t>PISTACHO: Secano</t>
  </si>
  <si>
    <t>AVELLANO: Secano</t>
  </si>
  <si>
    <t>ALGARROBO: Secano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</si>
  <si>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</si>
  <si>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</si>
  <si>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</si>
  <si>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</si>
  <si>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</si>
  <si>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</si>
  <si>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</si>
  <si>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</si>
  <si>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Huesca</t>
  </si>
  <si>
    <t>Teruel</t>
  </si>
  <si>
    <t>Zaragoza</t>
  </si>
  <si>
    <t>Alicante</t>
  </si>
  <si>
    <t>Castellon</t>
  </si>
  <si>
    <t>Valencia</t>
  </si>
  <si>
    <t>Barcelona</t>
  </si>
  <si>
    <t>Girona</t>
  </si>
  <si>
    <t>Lleida</t>
  </si>
  <si>
    <t>Tarragona</t>
  </si>
  <si>
    <t>Albacete</t>
  </si>
  <si>
    <t>Ciudad Real</t>
  </si>
  <si>
    <t>Cuenca</t>
  </si>
  <si>
    <t>Guadalajara</t>
  </si>
  <si>
    <t>Toledo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</si>
  <si>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</si>
  <si>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</si>
  <si>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</si>
  <si>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</si>
  <si>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</si>
  <si>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</si>
  <si>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</si>
  <si>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</si>
  <si>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</si>
  <si>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Badajoz</t>
  </si>
  <si>
    <t>Cáceres</t>
  </si>
  <si>
    <t>La Rioja</t>
  </si>
  <si>
    <t>Murcia</t>
  </si>
  <si>
    <t>Navarra</t>
  </si>
  <si>
    <t>Álava</t>
  </si>
  <si>
    <t>ANDALUCÍA</t>
  </si>
  <si>
    <t>ARAGÓN</t>
  </si>
  <si>
    <t>CATALUÑA</t>
  </si>
  <si>
    <t>C.-LA MANCHA</t>
  </si>
  <si>
    <t>C. y LEÓN</t>
  </si>
  <si>
    <t>EXTREMADURA</t>
  </si>
  <si>
    <t>LA RIOJA</t>
  </si>
  <si>
    <t>MURCIA</t>
  </si>
  <si>
    <t>NAVARRA</t>
  </si>
  <si>
    <t>PAIS VASCO</t>
  </si>
  <si>
    <t>ESPAÑA</t>
  </si>
  <si>
    <t>C. VALENCIANA</t>
  </si>
  <si>
    <t>PISTACHO: Regadio</t>
  </si>
  <si>
    <t>ANDALUCIA</t>
  </si>
  <si>
    <t>ASTURIAS</t>
  </si>
  <si>
    <t>Asturias</t>
  </si>
  <si>
    <t>CANTABRIA</t>
  </si>
  <si>
    <t>Cantabria</t>
  </si>
  <si>
    <t>GALICIA</t>
  </si>
  <si>
    <t>A Coruña</t>
  </si>
  <si>
    <t>Lugo</t>
  </si>
  <si>
    <t>Ourense</t>
  </si>
  <si>
    <t>Pontevedra</t>
  </si>
  <si>
    <t>Guipúzcoa</t>
  </si>
  <si>
    <t>Vizcaya</t>
  </si>
  <si>
    <t>AVELLANO: Regadio</t>
  </si>
  <si>
    <t>ISLAS BALEARES</t>
  </si>
  <si>
    <t>Illes Balears</t>
  </si>
  <si>
    <t>ALGARROBO: Regadio</t>
  </si>
  <si>
    <t>Islas baleares</t>
  </si>
  <si>
    <t>ISLAS CANARIAS</t>
  </si>
  <si>
    <t>MADRID</t>
  </si>
  <si>
    <t>Madrid</t>
  </si>
  <si>
    <t>Las Palmas</t>
  </si>
  <si>
    <t>S.C. de Tenerfie</t>
  </si>
  <si>
    <t>S.C. de Tenerife</t>
  </si>
  <si>
    <t>CASTAÑO</t>
  </si>
  <si>
    <t>PAÍS VASCO</t>
  </si>
  <si>
    <t>I. BALEARES</t>
  </si>
  <si>
    <t>&lt;2,000</t>
  </si>
  <si>
    <t>Sin info de edad</t>
  </si>
  <si>
    <t>Total general</t>
  </si>
  <si>
    <t>Distribución Territorial</t>
  </si>
  <si>
    <t>&lt;2.000</t>
  </si>
  <si>
    <t>ALMENDRO: Regadío</t>
  </si>
  <si>
    <t>CCAA</t>
  </si>
  <si>
    <t>ESYRCE* (ha)</t>
  </si>
  <si>
    <t xml:space="preserve">* Se utiliza ESYRCE en este caso porque no existe información sobre este cultivo en Anuario. </t>
  </si>
  <si>
    <t>PISTACHO: Regadío</t>
  </si>
  <si>
    <t>Luego</t>
  </si>
  <si>
    <t>0-5%</t>
  </si>
  <si>
    <t>5-10%</t>
  </si>
  <si>
    <t>10-15%</t>
  </si>
  <si>
    <t>&gt;=15%</t>
  </si>
  <si>
    <t>Total</t>
  </si>
  <si>
    <t>ALMENDRO: Total</t>
  </si>
  <si>
    <t>CASTAÑO: Secano</t>
  </si>
  <si>
    <t>NOGAL: Regadío</t>
  </si>
  <si>
    <t>CASTAÑO: Regadío</t>
  </si>
  <si>
    <t>ALGARROBO: Regadío</t>
  </si>
  <si>
    <t>AVELLANO: Regadío</t>
  </si>
  <si>
    <t>PISTACHO: Total</t>
  </si>
  <si>
    <t>AVELLANO: Total</t>
  </si>
  <si>
    <t>ALGARROBO: Total</t>
  </si>
  <si>
    <t>CASTAÑO: Total</t>
  </si>
  <si>
    <t>NOGAL: Total</t>
  </si>
  <si>
    <t>Dist. C.A.</t>
  </si>
  <si>
    <t>Superficie por tamaño de explotación</t>
  </si>
  <si>
    <t xml:space="preserve"> &gt;0-5</t>
  </si>
  <si>
    <t>&gt;5-10</t>
  </si>
  <si>
    <t>&gt;10-15</t>
  </si>
  <si>
    <t>&gt;15-20</t>
  </si>
  <si>
    <t>&gt;20-25</t>
  </si>
  <si>
    <t>&gt;25-30</t>
  </si>
  <si>
    <t xml:space="preserve"> &gt;30-35</t>
  </si>
  <si>
    <t xml:space="preserve"> &gt;35-40</t>
  </si>
  <si>
    <t xml:space="preserve"> 10-40</t>
  </si>
  <si>
    <t xml:space="preserve"> &gt;40-45</t>
  </si>
  <si>
    <t>&gt;45-50</t>
  </si>
  <si>
    <t>&gt;50-55</t>
  </si>
  <si>
    <t xml:space="preserve"> &gt;55-60</t>
  </si>
  <si>
    <t>&gt;60-65</t>
  </si>
  <si>
    <t xml:space="preserve"> &gt;65-70</t>
  </si>
  <si>
    <t xml:space="preserve"> &gt;70-75</t>
  </si>
  <si>
    <t xml:space="preserve"> &gt;75-80</t>
  </si>
  <si>
    <t xml:space="preserve"> &gt;80-85</t>
  </si>
  <si>
    <t>&gt;85-90</t>
  </si>
  <si>
    <t xml:space="preserve"> &gt;90-95</t>
  </si>
  <si>
    <t xml:space="preserve"> &gt;95-100</t>
  </si>
  <si>
    <t>40-100</t>
  </si>
  <si>
    <t xml:space="preserve"> &gt;100-150</t>
  </si>
  <si>
    <t xml:space="preserve"> &gt;150</t>
  </si>
  <si>
    <t>&gt;100</t>
  </si>
  <si>
    <t>ALMENDRO</t>
  </si>
  <si>
    <t>NOGAL</t>
  </si>
  <si>
    <t>ALGARROBO</t>
  </si>
  <si>
    <t>AVELLANO</t>
  </si>
  <si>
    <t>PISTACHO</t>
  </si>
  <si>
    <t>Nº explotaciones por tamaño</t>
  </si>
  <si>
    <t>VARIEDAD</t>
  </si>
  <si>
    <t>RAMILLETE</t>
  </si>
  <si>
    <t>MATALAFERA</t>
  </si>
  <si>
    <t>NEGRA</t>
  </si>
  <si>
    <t>BANYA DE CABRA</t>
  </si>
  <si>
    <t>DURAIO</t>
  </si>
  <si>
    <t>MELERA</t>
  </si>
  <si>
    <t>RALLADORA</t>
  </si>
  <si>
    <t>BUGADERA</t>
  </si>
  <si>
    <t>CACHES</t>
  </si>
  <si>
    <t>COSTILLA DE ASNO</t>
  </si>
  <si>
    <t>SIN VARIEDAD</t>
  </si>
  <si>
    <t>TOTAL</t>
  </si>
  <si>
    <t>CASTELLANA</t>
  </si>
  <si>
    <t>BRAVÍA</t>
  </si>
  <si>
    <t>CASUDA</t>
  </si>
  <si>
    <t>NEGRET</t>
  </si>
  <si>
    <t>PAUETET</t>
  </si>
  <si>
    <t>NEGKRETTA</t>
  </si>
  <si>
    <t>SAN GIOVANNI</t>
  </si>
  <si>
    <t>TONDA DI GIFFONI</t>
  </si>
  <si>
    <t>CASTANYERA</t>
  </si>
  <si>
    <t>BUTLER</t>
  </si>
  <si>
    <t>ENNIS</t>
  </si>
  <si>
    <t>COSFORD K.2</t>
  </si>
  <si>
    <t>NOISETIER À PELLICULE BLANCHE</t>
  </si>
  <si>
    <t>TONDA GENTILE ROMANA</t>
  </si>
  <si>
    <t>BARCELONA</t>
  </si>
  <si>
    <t>GUARA</t>
  </si>
  <si>
    <t>LARGUETA</t>
  </si>
  <si>
    <t>LAURANNE</t>
  </si>
  <si>
    <t>MARCONA</t>
  </si>
  <si>
    <t>FERRAGNES</t>
  </si>
  <si>
    <t>FERRADUEL</t>
  </si>
  <si>
    <t>DESMAYO ROJO</t>
  </si>
  <si>
    <t>COMUNA</t>
  </si>
  <si>
    <t>AVIJOR</t>
  </si>
  <si>
    <t>VAIRO</t>
  </si>
  <si>
    <t>SOLETA</t>
  </si>
  <si>
    <t>PENTACEBAS CSIC</t>
  </si>
  <si>
    <t>MARINADA</t>
  </si>
  <si>
    <t>SIRORA</t>
  </si>
  <si>
    <t>PETER</t>
  </si>
  <si>
    <t>MATEUR</t>
  </si>
  <si>
    <t>LOST HILLS</t>
  </si>
  <si>
    <t>KERMAN</t>
  </si>
  <si>
    <t>LARNAKA</t>
  </si>
  <si>
    <t>KASTEL</t>
  </si>
  <si>
    <t>GOLDENS HILLS</t>
  </si>
  <si>
    <t>AVDAT</t>
  </si>
  <si>
    <t>AEGINA</t>
  </si>
  <si>
    <t>ASKAR</t>
  </si>
  <si>
    <t>ALMENDRO SECANO</t>
  </si>
  <si>
    <t>SUPERFICIE TOTAL</t>
  </si>
  <si>
    <t>ALMENDRO REGADÍO</t>
  </si>
  <si>
    <t>PISTACHO SECANO</t>
  </si>
  <si>
    <t>PISTACHO REGADÍO</t>
  </si>
  <si>
    <t>SUPERFICIE PLANTADA</t>
  </si>
  <si>
    <t>AVELLANO SECANO</t>
  </si>
  <si>
    <t>AVELLANO REGADÍO</t>
  </si>
  <si>
    <t>ALGARROBO SECANO</t>
  </si>
  <si>
    <t>ALGARROBOBO REGADÍO</t>
  </si>
  <si>
    <t>ANÁLISIS DE PENDIENTE</t>
  </si>
  <si>
    <t>TAMAÑO Y Nº DE EXPLOTACIONES</t>
  </si>
  <si>
    <t>REPRESENTATIVIDAD DE LOS DATOS DE SUPERFICIE (ha)</t>
  </si>
  <si>
    <t>INFORMACIÓN SOBRE LA EDAD DE PLANTACIÓN</t>
  </si>
  <si>
    <t>CARACTERÍSTICAS POR PRODUCTO Y SUPERFICIE (Variedades)</t>
  </si>
  <si>
    <t>FRUTOS SECOS</t>
  </si>
  <si>
    <t>FUENTE:</t>
  </si>
  <si>
    <t>PET_RSU_REGEPA_ALMENDRO_PISTACHO. FEGA 2019</t>
  </si>
  <si>
    <t>PET_RSU_REGEPA_ALGARROBO_AVELLANO FEGA 2019</t>
  </si>
  <si>
    <t>Nuevo_MAPA_2020_RSU_REGEPA_ALGA_AVELL_22032021</t>
  </si>
  <si>
    <t>ESYRCE</t>
  </si>
  <si>
    <t>DATOS NOGAL_Pet_MAPA_FH_RSU_REGEPA_2020_Nogal_23032021</t>
  </si>
  <si>
    <t>20191114_FYH_HISTÓRICOGENERALSUPERYPRODREGIONALES</t>
  </si>
  <si>
    <t>2019PET_FRUTALES</t>
  </si>
  <si>
    <t xml:space="preserve">FUENTE: </t>
  </si>
  <si>
    <t>Explot_Pendiente_Cultivos_Leñosos_02032021</t>
  </si>
  <si>
    <t>Explot_Cultivos_Leñosos_030320210</t>
  </si>
  <si>
    <t>Pet_MAPA_FH_RSU_REGEPA_2020_Nogal_23032021</t>
  </si>
  <si>
    <t>MAPA_2020_RSU_REGEPA_ALGA_AVELL_22032021</t>
  </si>
  <si>
    <t>frutalesnocitricosysecosprovisionales2020_tcm30-560538</t>
  </si>
  <si>
    <t>Islas Baleares</t>
  </si>
  <si>
    <t>Pet_RR_FS_ALM_PIST_RSU_REGEPA_2020_14042021</t>
  </si>
  <si>
    <t>FRUTOS SECOS TOTAL</t>
  </si>
  <si>
    <t>SECANO</t>
  </si>
  <si>
    <t>REGADÍO</t>
  </si>
  <si>
    <t>RSU REGEPA (ha)</t>
  </si>
  <si>
    <t>REPRESENTATIVIDAD: RSU REGEPA VS SUPERFICIES ANUALES (%)</t>
  </si>
  <si>
    <t>RSU REGEPA 2020 VS 2019</t>
  </si>
  <si>
    <t>REPRESENTATIVIDAD: RSU REGEPA VS ESYRCE (%)</t>
  </si>
  <si>
    <t>Superficies anuales 2020 (ha)</t>
  </si>
  <si>
    <t>RSU REGEPA 2020</t>
  </si>
  <si>
    <t>%</t>
  </si>
  <si>
    <t>Almendro</t>
  </si>
  <si>
    <t>Pistacho</t>
  </si>
  <si>
    <t>Avellano</t>
  </si>
  <si>
    <t>Algarrobo</t>
  </si>
  <si>
    <t>Castaño</t>
  </si>
  <si>
    <t>Nogal</t>
  </si>
  <si>
    <t>RSU REGEPA 2019</t>
  </si>
  <si>
    <t>(RSU REGEPA 2020 DEF) Pet_RR_FS_ALM_PIST_RSU_REGEPA_2020_25082021</t>
  </si>
  <si>
    <t>Plantaciones en producción (Mayores o iguales 5 años)</t>
  </si>
  <si>
    <t>Plantaciones Jóvenes (Menores de 5 años: 2020 - 2017 incl)</t>
  </si>
  <si>
    <t>Plantaciones SIN INFO de edad</t>
  </si>
  <si>
    <t>Sin INFO de edad S. Equiv Almendro cultivo asociado</t>
  </si>
  <si>
    <t>Plantº Jóvenes</t>
  </si>
  <si>
    <t>Plantaciones en producción (Mayores o iguales 4 años)</t>
  </si>
  <si>
    <t>Plantaciones Jóvenes (Menores de 4 años: 2020 - 2018 incl)</t>
  </si>
  <si>
    <t/>
  </si>
  <si>
    <t>TOTAL FRUTOS SECOS = ALMENDRO+PISTACHO+AVELLANA+ALGARROBO+CASTAÑO+NOGAL</t>
  </si>
  <si>
    <t>SECANO = ALMENDRO + PISTACHO + AVELLANO + ALGARROBO</t>
  </si>
  <si>
    <t>REGADÍO = ALMENDRO + PISTACHO + AVELLANO + ALGARROBO</t>
  </si>
  <si>
    <t>Algarrobo*</t>
  </si>
  <si>
    <t>*Las superficies anuales se cogen de ESYRCE</t>
  </si>
  <si>
    <t>2020 vs 2019</t>
  </si>
  <si>
    <t>REPRESENTATIVIDAD</t>
  </si>
  <si>
    <t>VARIACIÓN INTERANUAL</t>
  </si>
  <si>
    <t>RESUMEN DE CCAA</t>
  </si>
  <si>
    <t>RSU-REGEPA 2020</t>
  </si>
  <si>
    <t>Superficies Anuales 2020</t>
  </si>
  <si>
    <t>Representatividad</t>
  </si>
  <si>
    <t>SUP. ANUALES 2020 VS 2019</t>
  </si>
  <si>
    <t>SUPERFICIES ANUALES 2020</t>
  </si>
  <si>
    <t>FRUTOS DE CASCARA - Superficie FEGA y REGEPA 2019.</t>
  </si>
  <si>
    <t>RSU REGEPA (ha): CULTIVO ALMENDRO</t>
  </si>
  <si>
    <t>RSU REGEPA - CULTIVO ASOCIADO (Superficie Equivalente Almendro)</t>
  </si>
  <si>
    <t>ALMENDRO: Regadio</t>
  </si>
  <si>
    <t>PRINCIPALES CCAA PRODUCTORAS</t>
  </si>
  <si>
    <t>C_ LA MANCHA</t>
  </si>
  <si>
    <t>SUP.ANUALES 2020</t>
  </si>
  <si>
    <t>Variación</t>
  </si>
  <si>
    <t>(en blanco)</t>
  </si>
  <si>
    <t>&lt; 1999</t>
  </si>
  <si>
    <t>&lt;1900</t>
  </si>
  <si>
    <t>&lt;1999</t>
  </si>
  <si>
    <t xml:space="preserve">Superficie plantada en ES </t>
  </si>
  <si>
    <t>Variación Interanual</t>
  </si>
  <si>
    <t>PRINCIPALES REGIONES PRODUCTORAS</t>
  </si>
  <si>
    <t>% plant jóvenes</t>
  </si>
  <si>
    <t>Plantaciones jóvenes</t>
  </si>
  <si>
    <t>Superficie Total Plantada</t>
  </si>
  <si>
    <t>Variación interanual</t>
  </si>
  <si>
    <t>Plan. Joven</t>
  </si>
  <si>
    <t>% Plan. Joven</t>
  </si>
  <si>
    <t>C. Y LEÓN</t>
  </si>
  <si>
    <t>Plan. Jóvenes</t>
  </si>
  <si>
    <t>% Plan. Jóvenes</t>
  </si>
  <si>
    <t xml:space="preserve"> </t>
  </si>
  <si>
    <t>ALMENDRO: Secano Distribución</t>
  </si>
  <si>
    <t>OTRAS VARIEDADES</t>
  </si>
  <si>
    <t xml:space="preserve">TOTAL </t>
  </si>
  <si>
    <t xml:space="preserve">OTRAS VARIEDADES </t>
  </si>
  <si>
    <t>NEGRETTA</t>
  </si>
  <si>
    <t>SUP.ANUALES 2020 (ESYRCE)</t>
  </si>
  <si>
    <t>CONSTANTI</t>
  </si>
  <si>
    <t>ANTOÑETA</t>
  </si>
  <si>
    <t>ISABELONA</t>
  </si>
  <si>
    <t>MARTA</t>
  </si>
  <si>
    <t>NON PAREIL</t>
  </si>
  <si>
    <t>RESTO VARIEDADES</t>
  </si>
  <si>
    <t>ALMENDRA: Secano</t>
  </si>
  <si>
    <t>% plantaciones jóvenes</t>
  </si>
  <si>
    <t>Plantaciones en producción (anteriores a 2017)</t>
  </si>
  <si>
    <t>Plantaciones jóvenes (a partir de 2017 inlc.)</t>
  </si>
  <si>
    <t>% plantaciones</t>
  </si>
  <si>
    <t>ALMENDRA: Regadío</t>
  </si>
  <si>
    <t>Plantaciones jóvenes (a partir de 2018 inlc.)</t>
  </si>
  <si>
    <t>Plantaciones en producción (anteriores a 2018)</t>
  </si>
  <si>
    <t>SIN VARIEDADES</t>
  </si>
  <si>
    <t>MARIANDA</t>
  </si>
  <si>
    <t>FERRAGES</t>
  </si>
  <si>
    <t>Pet_RR_RSU_REGEPA_2020_122_123_ALGA_AVELL_25082021</t>
  </si>
  <si>
    <t>Pet_RR_FS_ALM_PIST_RSU_REGEPA_2020_25082021</t>
  </si>
  <si>
    <t>EVOLUCIÓN DE PLANTACIONES (Variedades tradicionales/nuevas plantaciones)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</si>
</sst>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%"/>
    <numFmt numFmtId="166" formatCode="0.000%"/>
  </numFmts>
  <fonts count="38" x14ac:knownFonts="1">
    <font>
      <sz val="11"/>
      <color theme="1"/>
      <name val="Calibri"/>
      <family val="2"/>
      <scheme val="minor"/>
    </font>
    <font>
      <sz val="11"/>
      <color rgb="FF2F5496"/>
      <name val="Segoe U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b/>
      <sz val="14"/>
      <color rgb="FF66330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99663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i/>
      <sz val="11"/>
      <color rgb="FF996633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663300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b/>
      <sz val="16"/>
      <color theme="9" tint="-0.499984740745262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6633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0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1"/>
      <color rgb="FF6633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2B8F1D"/>
      <name val="Calibri"/>
      <family val="2"/>
      <scheme val="minor"/>
    </font>
    <font>
      <sz val="11"/>
      <color rgb="FF2B8F1D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CC66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theme="4" tint="0.79998168889431442"/>
      </patternFill>
    </fill>
    <fill>
      <patternFill patternType="solid">
        <fgColor rgb="FF66330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CB9661"/>
        <bgColor indexed="64"/>
      </patternFill>
    </fill>
    <fill>
      <patternFill patternType="solid">
        <fgColor rgb="FF996633"/>
        <bgColor theme="4" tint="0.7999816888943144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theme="4" tint="0.79998168889431442"/>
      </patternFill>
    </fill>
    <fill>
      <patternFill patternType="solid">
        <fgColor rgb="FF22410B"/>
        <bgColor indexed="64"/>
      </patternFill>
    </fill>
    <fill>
      <patternFill patternType="solid">
        <fgColor rgb="FFD7AE85"/>
        <bgColor indexed="64"/>
      </patternFill>
    </fill>
    <fill>
      <patternFill patternType="solid">
        <fgColor theme="9" tint="-0.499984740745262"/>
        <bgColor theme="4" tint="0.79998168889431442"/>
      </patternFill>
    </fill>
    <fill>
      <patternFill patternType="solid">
        <fgColor theme="9" tint="-0.499984740745262"/>
        <bgColor theme="0" tint="-0.149998474074526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rgb="FFCB9661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3300"/>
        <bgColor theme="4" tint="0.79998168889431442"/>
      </patternFill>
    </fill>
    <fill>
      <patternFill patternType="solid">
        <fgColor theme="7"/>
        <bgColor indexed="64"/>
      </patternFill>
    </fill>
    <fill>
      <patternFill patternType="solid">
        <fgColor rgb="FFCB976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29">
    <xf numFmtId="0" fontId="0" fillId="0" borderId="0" xfId="0"/>
    <xf numFmtId="0" fontId="1" fillId="0" borderId="0" xfId="0" applyFont="1" applyAlignment="1">
      <alignment horizontal="left" vertical="center" indent="5"/>
    </xf>
    <xf numFmtId="0" fontId="4" fillId="0" borderId="0" xfId="0" applyFont="1" applyAlignment="1">
      <alignment horizontal="right"/>
    </xf>
    <xf numFmtId="0" fontId="7" fillId="0" borderId="1" xfId="0" applyFont="1" applyBorder="1"/>
    <xf numFmtId="9" fontId="3" fillId="2" borderId="2" xfId="1" applyFont="1" applyFill="1" applyBorder="1" applyAlignment="1">
      <alignment horizontal="center" vertical="center"/>
    </xf>
    <xf numFmtId="0" fontId="5" fillId="0" borderId="0" xfId="2" applyFill="1"/>
    <xf numFmtId="0" fontId="0" fillId="0" borderId="0" xfId="0" applyAlignment="1">
      <alignment horizontal="left" indent="1"/>
    </xf>
    <xf numFmtId="0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left" indent="1"/>
    </xf>
    <xf numFmtId="3" fontId="0" fillId="0" borderId="2" xfId="0" applyNumberFormat="1" applyBorder="1" applyAlignment="1">
      <alignment horizontal="center"/>
    </xf>
    <xf numFmtId="0" fontId="0" fillId="0" borderId="2" xfId="0" applyFont="1" applyBorder="1" applyAlignment="1">
      <alignment horizontal="left" indent="1"/>
    </xf>
    <xf numFmtId="0" fontId="4" fillId="3" borderId="2" xfId="0" applyFont="1" applyFill="1" applyBorder="1" applyAlignment="1">
      <alignment horizontal="left"/>
    </xf>
    <xf numFmtId="3" fontId="4" fillId="3" borderId="2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left"/>
    </xf>
    <xf numFmtId="3" fontId="3" fillId="5" borderId="2" xfId="0" applyNumberFormat="1" applyFont="1" applyFill="1" applyBorder="1" applyAlignment="1">
      <alignment horizontal="center"/>
    </xf>
    <xf numFmtId="4" fontId="4" fillId="3" borderId="2" xfId="0" applyNumberFormat="1" applyFont="1" applyFill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4" fillId="3" borderId="2" xfId="0" applyNumberFormat="1" applyFont="1" applyFill="1" applyBorder="1" applyAlignment="1">
      <alignment horizontal="center"/>
    </xf>
    <xf numFmtId="0" fontId="3" fillId="4" borderId="2" xfId="0" applyFont="1" applyFill="1" applyBorder="1"/>
    <xf numFmtId="9" fontId="4" fillId="3" borderId="2" xfId="1" applyFont="1" applyFill="1" applyBorder="1" applyAlignment="1">
      <alignment horizontal="center"/>
    </xf>
    <xf numFmtId="9" fontId="0" fillId="0" borderId="2" xfId="1" applyFont="1" applyBorder="1" applyAlignment="1">
      <alignment horizontal="center"/>
    </xf>
    <xf numFmtId="9" fontId="3" fillId="5" borderId="2" xfId="1" applyFont="1" applyFill="1" applyBorder="1" applyAlignment="1">
      <alignment horizontal="center"/>
    </xf>
    <xf numFmtId="9" fontId="4" fillId="0" borderId="2" xfId="1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3" fontId="3" fillId="4" borderId="2" xfId="0" applyNumberFormat="1" applyFont="1" applyFill="1" applyBorder="1" applyAlignment="1">
      <alignment horizontal="center"/>
    </xf>
    <xf numFmtId="0" fontId="3" fillId="5" borderId="2" xfId="0" applyFont="1" applyFill="1" applyBorder="1" applyAlignment="1">
      <alignment horizontal="left"/>
    </xf>
    <xf numFmtId="9" fontId="4" fillId="0" borderId="0" xfId="1" applyFont="1" applyBorder="1" applyAlignment="1">
      <alignment horizontal="right"/>
    </xf>
    <xf numFmtId="0" fontId="8" fillId="0" borderId="0" xfId="2" applyFont="1"/>
    <xf numFmtId="0" fontId="0" fillId="0" borderId="0" xfId="0" applyBorder="1"/>
    <xf numFmtId="0" fontId="9" fillId="6" borderId="2" xfId="0" applyFont="1" applyFill="1" applyBorder="1" applyAlignment="1">
      <alignment horizontal="center" vertical="center"/>
    </xf>
    <xf numFmtId="3" fontId="9" fillId="6" borderId="2" xfId="0" applyNumberFormat="1" applyFont="1" applyFill="1" applyBorder="1" applyAlignment="1">
      <alignment horizontal="center" vertical="center"/>
    </xf>
    <xf numFmtId="9" fontId="9" fillId="6" borderId="2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4" borderId="2" xfId="0" applyFont="1" applyFill="1" applyBorder="1"/>
    <xf numFmtId="3" fontId="9" fillId="4" borderId="2" xfId="0" applyNumberFormat="1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4" fillId="3" borderId="2" xfId="0" applyFont="1" applyFill="1" applyBorder="1"/>
    <xf numFmtId="0" fontId="4" fillId="8" borderId="2" xfId="0" applyFont="1" applyFill="1" applyBorder="1" applyAlignment="1">
      <alignment horizontal="left"/>
    </xf>
    <xf numFmtId="3" fontId="4" fillId="8" borderId="2" xfId="0" applyNumberFormat="1" applyFont="1" applyFill="1" applyBorder="1" applyAlignment="1">
      <alignment horizontal="center"/>
    </xf>
    <xf numFmtId="9" fontId="4" fillId="8" borderId="2" xfId="1" applyFont="1" applyFill="1" applyBorder="1" applyAlignment="1">
      <alignment horizontal="center"/>
    </xf>
    <xf numFmtId="0" fontId="3" fillId="9" borderId="2" xfId="0" applyFont="1" applyFill="1" applyBorder="1" applyAlignment="1">
      <alignment horizontal="left"/>
    </xf>
    <xf numFmtId="3" fontId="3" fillId="9" borderId="2" xfId="0" applyNumberFormat="1" applyFont="1" applyFill="1" applyBorder="1" applyAlignment="1">
      <alignment horizontal="center"/>
    </xf>
    <xf numFmtId="9" fontId="3" fillId="7" borderId="2" xfId="1" applyFont="1" applyFill="1" applyBorder="1" applyAlignment="1">
      <alignment horizontal="center"/>
    </xf>
    <xf numFmtId="0" fontId="0" fillId="0" borderId="0" xfId="0" applyFill="1"/>
    <xf numFmtId="165" fontId="4" fillId="0" borderId="2" xfId="1" applyNumberFormat="1" applyFont="1" applyBorder="1" applyAlignment="1">
      <alignment horizontal="center"/>
    </xf>
    <xf numFmtId="10" fontId="4" fillId="0" borderId="2" xfId="1" applyNumberFormat="1" applyFont="1" applyBorder="1" applyAlignment="1">
      <alignment horizontal="center"/>
    </xf>
    <xf numFmtId="166" fontId="4" fillId="0" borderId="2" xfId="1" applyNumberFormat="1" applyFont="1" applyBorder="1" applyAlignment="1">
      <alignment horizontal="center"/>
    </xf>
    <xf numFmtId="9" fontId="4" fillId="0" borderId="2" xfId="1" applyNumberFormat="1" applyFont="1" applyBorder="1" applyAlignment="1">
      <alignment horizontal="center"/>
    </xf>
    <xf numFmtId="9" fontId="3" fillId="9" borderId="2" xfId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11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 wrapText="1"/>
    </xf>
    <xf numFmtId="9" fontId="3" fillId="11" borderId="2" xfId="1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/>
    </xf>
    <xf numFmtId="3" fontId="4" fillId="12" borderId="2" xfId="0" applyNumberFormat="1" applyFont="1" applyFill="1" applyBorder="1" applyAlignment="1">
      <alignment horizontal="center"/>
    </xf>
    <xf numFmtId="9" fontId="4" fillId="12" borderId="2" xfId="1" applyFont="1" applyFill="1" applyBorder="1" applyAlignment="1">
      <alignment horizontal="center"/>
    </xf>
    <xf numFmtId="0" fontId="3" fillId="10" borderId="2" xfId="0" applyFont="1" applyFill="1" applyBorder="1" applyAlignment="1">
      <alignment horizontal="left"/>
    </xf>
    <xf numFmtId="3" fontId="3" fillId="13" borderId="2" xfId="0" applyNumberFormat="1" applyFont="1" applyFill="1" applyBorder="1" applyAlignment="1">
      <alignment horizontal="center"/>
    </xf>
    <xf numFmtId="9" fontId="3" fillId="13" borderId="2" xfId="1" applyFont="1" applyFill="1" applyBorder="1" applyAlignment="1">
      <alignment horizontal="center"/>
    </xf>
    <xf numFmtId="3" fontId="13" fillId="3" borderId="2" xfId="0" applyNumberFormat="1" applyFont="1" applyFill="1" applyBorder="1" applyAlignment="1">
      <alignment horizontal="center"/>
    </xf>
    <xf numFmtId="3" fontId="14" fillId="0" borderId="2" xfId="0" applyNumberFormat="1" applyFont="1" applyBorder="1" applyAlignment="1">
      <alignment horizontal="center"/>
    </xf>
    <xf numFmtId="0" fontId="3" fillId="10" borderId="2" xfId="0" applyFont="1" applyFill="1" applyBorder="1"/>
    <xf numFmtId="9" fontId="2" fillId="0" borderId="2" xfId="1" applyFont="1" applyBorder="1" applyAlignment="1">
      <alignment horizontal="center"/>
    </xf>
    <xf numFmtId="0" fontId="4" fillId="12" borderId="2" xfId="0" applyFont="1" applyFill="1" applyBorder="1"/>
    <xf numFmtId="3" fontId="0" fillId="0" borderId="2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left" indent="1"/>
    </xf>
    <xf numFmtId="0" fontId="6" fillId="0" borderId="1" xfId="0" applyFont="1" applyBorder="1" applyAlignment="1"/>
    <xf numFmtId="9" fontId="0" fillId="0" borderId="2" xfId="1" applyFont="1" applyFill="1" applyBorder="1" applyAlignment="1">
      <alignment horizontal="center"/>
    </xf>
    <xf numFmtId="9" fontId="3" fillId="4" borderId="2" xfId="1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 vertical="center"/>
    </xf>
    <xf numFmtId="3" fontId="9" fillId="11" borderId="2" xfId="0" applyNumberFormat="1" applyFont="1" applyFill="1" applyBorder="1" applyAlignment="1">
      <alignment horizontal="center" vertical="center"/>
    </xf>
    <xf numFmtId="9" fontId="9" fillId="11" borderId="2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" fillId="13" borderId="2" xfId="0" applyFont="1" applyFill="1" applyBorder="1" applyAlignment="1">
      <alignment horizontal="left"/>
    </xf>
    <xf numFmtId="0" fontId="11" fillId="14" borderId="2" xfId="0" applyFont="1" applyFill="1" applyBorder="1"/>
    <xf numFmtId="3" fontId="9" fillId="14" borderId="2" xfId="0" applyNumberFormat="1" applyFont="1" applyFill="1" applyBorder="1" applyAlignment="1">
      <alignment horizontal="center"/>
    </xf>
    <xf numFmtId="0" fontId="9" fillId="14" borderId="2" xfId="0" applyFont="1" applyFill="1" applyBorder="1" applyAlignment="1">
      <alignment horizontal="center"/>
    </xf>
    <xf numFmtId="3" fontId="9" fillId="6" borderId="3" xfId="0" applyNumberFormat="1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left"/>
    </xf>
    <xf numFmtId="3" fontId="3" fillId="7" borderId="2" xfId="0" applyNumberFormat="1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0" fontId="3" fillId="11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0" fontId="16" fillId="0" borderId="1" xfId="0" applyFont="1" applyBorder="1"/>
    <xf numFmtId="0" fontId="16" fillId="0" borderId="1" xfId="0" applyFont="1" applyBorder="1" applyAlignment="1"/>
    <xf numFmtId="0" fontId="18" fillId="0" borderId="0" xfId="0" applyFont="1" applyAlignment="1">
      <alignment horizontal="center"/>
    </xf>
    <xf numFmtId="0" fontId="4" fillId="15" borderId="2" xfId="0" applyFont="1" applyFill="1" applyBorder="1" applyAlignment="1">
      <alignment horizontal="left"/>
    </xf>
    <xf numFmtId="3" fontId="4" fillId="15" borderId="2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3" fillId="16" borderId="2" xfId="0" applyFont="1" applyFill="1" applyBorder="1" applyAlignment="1">
      <alignment horizontal="center"/>
    </xf>
    <xf numFmtId="17" fontId="3" fillId="16" borderId="2" xfId="0" applyNumberFormat="1" applyFont="1" applyFill="1" applyBorder="1" applyAlignment="1">
      <alignment horizontal="center"/>
    </xf>
    <xf numFmtId="9" fontId="4" fillId="15" borderId="2" xfId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" fillId="7" borderId="2" xfId="0" applyFont="1" applyFill="1" applyBorder="1" applyAlignment="1">
      <alignment horizontal="center" vertical="center"/>
    </xf>
    <xf numFmtId="0" fontId="3" fillId="17" borderId="2" xfId="0" applyNumberFormat="1" applyFont="1" applyFill="1" applyBorder="1" applyAlignment="1">
      <alignment horizontal="center"/>
    </xf>
    <xf numFmtId="0" fontId="4" fillId="18" borderId="2" xfId="0" applyFont="1" applyFill="1" applyBorder="1" applyAlignment="1">
      <alignment horizontal="left"/>
    </xf>
    <xf numFmtId="0" fontId="4" fillId="19" borderId="2" xfId="0" applyFont="1" applyFill="1" applyBorder="1" applyAlignment="1">
      <alignment horizontal="left"/>
    </xf>
    <xf numFmtId="3" fontId="4" fillId="18" borderId="2" xfId="0" applyNumberFormat="1" applyFont="1" applyFill="1" applyBorder="1" applyAlignment="1">
      <alignment horizontal="center"/>
    </xf>
    <xf numFmtId="3" fontId="0" fillId="0" borderId="2" xfId="0" applyNumberFormat="1" applyFill="1" applyBorder="1" applyAlignment="1">
      <alignment horizontal="center"/>
    </xf>
    <xf numFmtId="3" fontId="4" fillId="19" borderId="2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20" borderId="2" xfId="0" applyFont="1" applyFill="1" applyBorder="1" applyAlignment="1">
      <alignment horizontal="left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3" fontId="4" fillId="20" borderId="2" xfId="0" applyNumberFormat="1" applyFont="1" applyFill="1" applyBorder="1" applyAlignment="1">
      <alignment horizontal="center"/>
    </xf>
    <xf numFmtId="0" fontId="3" fillId="16" borderId="2" xfId="0" applyFont="1" applyFill="1" applyBorder="1" applyAlignment="1">
      <alignment horizontal="center" vertical="center"/>
    </xf>
    <xf numFmtId="0" fontId="3" fillId="17" borderId="2" xfId="0" applyNumberFormat="1" applyFont="1" applyFill="1" applyBorder="1" applyAlignment="1">
      <alignment horizontal="center" vertical="center"/>
    </xf>
    <xf numFmtId="0" fontId="3" fillId="16" borderId="2" xfId="0" applyFont="1" applyFill="1" applyBorder="1" applyAlignment="1">
      <alignment horizontal="center" vertical="center" wrapText="1"/>
    </xf>
    <xf numFmtId="0" fontId="13" fillId="15" borderId="2" xfId="0" applyFont="1" applyFill="1" applyBorder="1" applyAlignment="1">
      <alignment horizontal="left"/>
    </xf>
    <xf numFmtId="3" fontId="13" fillId="15" borderId="2" xfId="0" applyNumberFormat="1" applyFont="1" applyFill="1" applyBorder="1" applyAlignment="1">
      <alignment horizontal="center"/>
    </xf>
    <xf numFmtId="0" fontId="3" fillId="17" borderId="2" xfId="0" applyNumberFormat="1" applyFont="1" applyFill="1" applyBorder="1" applyAlignment="1">
      <alignment horizontal="center" vertical="center" wrapText="1"/>
    </xf>
    <xf numFmtId="10" fontId="4" fillId="12" borderId="2" xfId="1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9" fontId="0" fillId="0" borderId="0" xfId="1" applyFont="1" applyAlignment="1">
      <alignment horizontal="center"/>
    </xf>
    <xf numFmtId="9" fontId="4" fillId="19" borderId="2" xfId="1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9" fontId="4" fillId="0" borderId="0" xfId="1" applyFont="1" applyAlignment="1">
      <alignment horizontal="center"/>
    </xf>
    <xf numFmtId="165" fontId="0" fillId="0" borderId="0" xfId="1" applyNumberFormat="1" applyFont="1" applyAlignment="1">
      <alignment horizontal="center"/>
    </xf>
    <xf numFmtId="10" fontId="0" fillId="0" borderId="0" xfId="1" applyNumberFormat="1" applyFont="1" applyAlignment="1">
      <alignment horizontal="center"/>
    </xf>
    <xf numFmtId="0" fontId="3" fillId="16" borderId="6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/>
    </xf>
    <xf numFmtId="9" fontId="0" fillId="0" borderId="0" xfId="1" applyNumberFormat="1" applyFont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10" fontId="0" fillId="0" borderId="2" xfId="1" applyNumberFormat="1" applyFont="1" applyBorder="1" applyAlignment="1">
      <alignment horizontal="center"/>
    </xf>
    <xf numFmtId="0" fontId="0" fillId="0" borderId="2" xfId="0" applyBorder="1"/>
    <xf numFmtId="0" fontId="8" fillId="0" borderId="2" xfId="2" applyFont="1" applyBorder="1" applyAlignment="1">
      <alignment horizontal="left" indent="2"/>
    </xf>
    <xf numFmtId="0" fontId="22" fillId="0" borderId="2" xfId="0" applyFont="1" applyBorder="1" applyAlignment="1">
      <alignment horizont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Fill="1" applyBorder="1" applyAlignment="1">
      <alignment horizontal="center" wrapText="1"/>
    </xf>
    <xf numFmtId="0" fontId="5" fillId="0" borderId="0" xfId="2" applyBorder="1" applyAlignment="1">
      <alignment horizontal="center"/>
    </xf>
    <xf numFmtId="9" fontId="3" fillId="16" borderId="2" xfId="1" applyFont="1" applyFill="1" applyBorder="1" applyAlignment="1">
      <alignment horizontal="center"/>
    </xf>
    <xf numFmtId="3" fontId="3" fillId="16" borderId="2" xfId="0" applyNumberFormat="1" applyFont="1" applyFill="1" applyBorder="1" applyAlignment="1">
      <alignment horizontal="center"/>
    </xf>
    <xf numFmtId="3" fontId="3" fillId="9" borderId="2" xfId="0" applyNumberFormat="1" applyFont="1" applyFill="1" applyBorder="1" applyAlignment="1">
      <alignment horizontal="center" vertical="center" wrapText="1"/>
    </xf>
    <xf numFmtId="9" fontId="3" fillId="9" borderId="2" xfId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3" fontId="0" fillId="18" borderId="2" xfId="0" applyNumberFormat="1" applyFill="1" applyBorder="1" applyAlignment="1">
      <alignment horizontal="center"/>
    </xf>
    <xf numFmtId="3" fontId="4" fillId="0" borderId="2" xfId="0" applyNumberFormat="1" applyFont="1" applyFill="1" applyBorder="1" applyAlignment="1">
      <alignment horizontal="center"/>
    </xf>
    <xf numFmtId="9" fontId="9" fillId="6" borderId="3" xfId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left" indent="1"/>
    </xf>
    <xf numFmtId="3" fontId="4" fillId="8" borderId="2" xfId="1" applyNumberFormat="1" applyFont="1" applyFill="1" applyBorder="1" applyAlignment="1">
      <alignment horizontal="center"/>
    </xf>
    <xf numFmtId="3" fontId="0" fillId="0" borderId="2" xfId="1" applyNumberFormat="1" applyFont="1" applyBorder="1" applyAlignment="1">
      <alignment horizontal="center"/>
    </xf>
    <xf numFmtId="3" fontId="3" fillId="9" borderId="2" xfId="1" applyNumberFormat="1" applyFont="1" applyFill="1" applyBorder="1" applyAlignment="1">
      <alignment horizontal="center"/>
    </xf>
    <xf numFmtId="9" fontId="2" fillId="0" borderId="2" xfId="1" applyFont="1" applyFill="1" applyBorder="1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3" fontId="0" fillId="0" borderId="0" xfId="0" applyNumberFormat="1" applyFill="1" applyBorder="1" applyAlignment="1">
      <alignment horizontal="center"/>
    </xf>
    <xf numFmtId="3" fontId="14" fillId="0" borderId="2" xfId="0" applyNumberFormat="1" applyFont="1" applyFill="1" applyBorder="1" applyAlignment="1">
      <alignment horizontal="center"/>
    </xf>
    <xf numFmtId="165" fontId="4" fillId="8" borderId="2" xfId="1" applyNumberFormat="1" applyFont="1" applyFill="1" applyBorder="1" applyAlignment="1">
      <alignment horizontal="center"/>
    </xf>
    <xf numFmtId="10" fontId="4" fillId="8" borderId="2" xfId="1" applyNumberFormat="1" applyFont="1" applyFill="1" applyBorder="1" applyAlignment="1">
      <alignment horizontal="center"/>
    </xf>
    <xf numFmtId="3" fontId="0" fillId="0" borderId="0" xfId="0" applyNumberFormat="1"/>
    <xf numFmtId="4" fontId="4" fillId="0" borderId="8" xfId="0" applyNumberFormat="1" applyFont="1" applyFill="1" applyBorder="1"/>
    <xf numFmtId="3" fontId="0" fillId="0" borderId="0" xfId="0" applyNumberFormat="1" applyFill="1"/>
    <xf numFmtId="9" fontId="0" fillId="0" borderId="0" xfId="1" applyFont="1"/>
    <xf numFmtId="9" fontId="4" fillId="0" borderId="2" xfId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9" fontId="4" fillId="0" borderId="0" xfId="1" applyFont="1" applyFill="1" applyBorder="1" applyAlignment="1">
      <alignment horizontal="center"/>
    </xf>
    <xf numFmtId="0" fontId="4" fillId="18" borderId="2" xfId="0" applyFont="1" applyFill="1" applyBorder="1" applyAlignment="1">
      <alignment horizontal="center" vertical="center"/>
    </xf>
    <xf numFmtId="0" fontId="4" fillId="18" borderId="2" xfId="0" applyFont="1" applyFill="1" applyBorder="1" applyAlignment="1">
      <alignment horizontal="center"/>
    </xf>
    <xf numFmtId="0" fontId="4" fillId="18" borderId="2" xfId="0" applyFont="1" applyFill="1" applyBorder="1" applyAlignment="1">
      <alignment horizontal="center" vertical="center" wrapText="1"/>
    </xf>
    <xf numFmtId="0" fontId="4" fillId="21" borderId="2" xfId="0" applyFont="1" applyFill="1" applyBorder="1" applyAlignment="1">
      <alignment horizontal="center" vertical="center"/>
    </xf>
    <xf numFmtId="0" fontId="4" fillId="21" borderId="2" xfId="0" applyFont="1" applyFill="1" applyBorder="1" applyAlignment="1">
      <alignment horizontal="center"/>
    </xf>
    <xf numFmtId="0" fontId="4" fillId="21" borderId="2" xfId="0" applyFont="1" applyFill="1" applyBorder="1" applyAlignment="1">
      <alignment horizontal="center" vertical="center" wrapText="1"/>
    </xf>
    <xf numFmtId="165" fontId="4" fillId="0" borderId="2" xfId="1" applyNumberFormat="1" applyFont="1" applyFill="1" applyBorder="1" applyAlignment="1">
      <alignment horizontal="center"/>
    </xf>
    <xf numFmtId="0" fontId="5" fillId="0" borderId="0" xfId="2"/>
    <xf numFmtId="0" fontId="22" fillId="0" borderId="9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5" fillId="0" borderId="2" xfId="2" applyBorder="1"/>
    <xf numFmtId="0" fontId="5" fillId="0" borderId="2" xfId="2" applyBorder="1" applyAlignment="1">
      <alignment horizontal="left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 wrapText="1"/>
    </xf>
    <xf numFmtId="0" fontId="0" fillId="0" borderId="0" xfId="0" applyFill="1" applyBorder="1"/>
    <xf numFmtId="9" fontId="9" fillId="0" borderId="0" xfId="1" applyFont="1" applyFill="1" applyBorder="1" applyAlignment="1">
      <alignment horizontal="center" vertical="center" wrapText="1"/>
    </xf>
    <xf numFmtId="9" fontId="3" fillId="0" borderId="0" xfId="1" applyFont="1" applyFill="1" applyBorder="1" applyAlignment="1">
      <alignment horizontal="center"/>
    </xf>
    <xf numFmtId="9" fontId="9" fillId="6" borderId="4" xfId="1" applyFont="1" applyFill="1" applyBorder="1" applyAlignment="1">
      <alignment horizontal="center" vertical="center" wrapText="1"/>
    </xf>
    <xf numFmtId="9" fontId="4" fillId="8" borderId="4" xfId="1" applyFont="1" applyFill="1" applyBorder="1" applyAlignment="1">
      <alignment horizontal="center"/>
    </xf>
    <xf numFmtId="9" fontId="0" fillId="0" borderId="4" xfId="1" applyFont="1" applyBorder="1" applyAlignment="1">
      <alignment horizontal="center"/>
    </xf>
    <xf numFmtId="3" fontId="3" fillId="9" borderId="4" xfId="0" applyNumberFormat="1" applyFont="1" applyFill="1" applyBorder="1" applyAlignment="1">
      <alignment horizontal="center"/>
    </xf>
    <xf numFmtId="9" fontId="9" fillId="11" borderId="4" xfId="1" applyFont="1" applyFill="1" applyBorder="1" applyAlignment="1">
      <alignment horizontal="center" vertical="center" wrapText="1"/>
    </xf>
    <xf numFmtId="9" fontId="4" fillId="12" borderId="4" xfId="1" applyFont="1" applyFill="1" applyBorder="1" applyAlignment="1">
      <alignment horizontal="center"/>
    </xf>
    <xf numFmtId="9" fontId="3" fillId="13" borderId="4" xfId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5" fillId="6" borderId="10" xfId="0" applyFont="1" applyFill="1" applyBorder="1" applyAlignment="1">
      <alignment horizontal="center" vertical="center" wrapText="1"/>
    </xf>
    <xf numFmtId="3" fontId="4" fillId="8" borderId="10" xfId="0" applyNumberFormat="1" applyFont="1" applyFill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3" fillId="9" borderId="10" xfId="0" applyNumberFormat="1" applyFont="1" applyFill="1" applyBorder="1" applyAlignment="1">
      <alignment horizontal="center"/>
    </xf>
    <xf numFmtId="9" fontId="3" fillId="9" borderId="4" xfId="1" applyFont="1" applyFill="1" applyBorder="1" applyAlignment="1">
      <alignment horizontal="center"/>
    </xf>
    <xf numFmtId="0" fontId="25" fillId="11" borderId="10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9" fontId="3" fillId="6" borderId="2" xfId="1" applyFont="1" applyFill="1" applyBorder="1" applyAlignment="1">
      <alignment horizontal="center" vertical="center"/>
    </xf>
    <xf numFmtId="0" fontId="10" fillId="0" borderId="0" xfId="0" applyFont="1"/>
    <xf numFmtId="0" fontId="3" fillId="6" borderId="2" xfId="0" applyFont="1" applyFill="1" applyBorder="1" applyAlignment="1">
      <alignment horizontal="left"/>
    </xf>
    <xf numFmtId="3" fontId="3" fillId="22" borderId="2" xfId="0" applyNumberFormat="1" applyFont="1" applyFill="1" applyBorder="1" applyAlignment="1">
      <alignment horizontal="center"/>
    </xf>
    <xf numFmtId="9" fontId="3" fillId="6" borderId="2" xfId="1" applyFont="1" applyFill="1" applyBorder="1" applyAlignment="1">
      <alignment horizontal="center"/>
    </xf>
    <xf numFmtId="3" fontId="3" fillId="6" borderId="2" xfId="0" applyNumberFormat="1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5" fillId="23" borderId="0" xfId="2" applyFill="1" applyAlignment="1">
      <alignment horizontal="center" vertical="center"/>
    </xf>
    <xf numFmtId="0" fontId="5" fillId="18" borderId="0" xfId="2" applyFill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/>
    </xf>
    <xf numFmtId="0" fontId="4" fillId="15" borderId="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  <xf numFmtId="0" fontId="27" fillId="0" borderId="0" xfId="0" applyFont="1" applyAlignment="1">
      <alignment vertical="center"/>
    </xf>
    <xf numFmtId="0" fontId="4" fillId="8" borderId="6" xfId="0" applyFont="1" applyFill="1" applyBorder="1" applyAlignment="1">
      <alignment horizontal="center"/>
    </xf>
    <xf numFmtId="3" fontId="4" fillId="8" borderId="0" xfId="0" applyNumberFormat="1" applyFont="1" applyFill="1" applyAlignment="1">
      <alignment horizontal="center"/>
    </xf>
    <xf numFmtId="0" fontId="26" fillId="0" borderId="0" xfId="0" applyFont="1"/>
    <xf numFmtId="9" fontId="3" fillId="6" borderId="0" xfId="1" applyFont="1" applyFill="1" applyBorder="1" applyAlignment="1">
      <alignment horizontal="center" vertical="center"/>
    </xf>
    <xf numFmtId="9" fontId="4" fillId="15" borderId="0" xfId="1" applyFont="1" applyFill="1" applyBorder="1" applyAlignment="1">
      <alignment horizontal="center"/>
    </xf>
    <xf numFmtId="9" fontId="2" fillId="0" borderId="0" xfId="1" applyFont="1" applyFill="1" applyBorder="1" applyAlignment="1">
      <alignment horizontal="center"/>
    </xf>
    <xf numFmtId="9" fontId="3" fillId="6" borderId="0" xfId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9" fontId="3" fillId="2" borderId="0" xfId="1" applyFont="1" applyFill="1" applyBorder="1" applyAlignment="1">
      <alignment horizontal="center" vertical="center"/>
    </xf>
    <xf numFmtId="9" fontId="4" fillId="3" borderId="0" xfId="1" applyFont="1" applyFill="1" applyBorder="1" applyAlignment="1">
      <alignment horizontal="center"/>
    </xf>
    <xf numFmtId="9" fontId="3" fillId="4" borderId="0" xfId="1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 vertical="center" wrapText="1"/>
    </xf>
    <xf numFmtId="9" fontId="3" fillId="11" borderId="0" xfId="1" applyFont="1" applyFill="1" applyBorder="1" applyAlignment="1">
      <alignment horizontal="center" vertical="center"/>
    </xf>
    <xf numFmtId="9" fontId="4" fillId="12" borderId="0" xfId="1" applyFont="1" applyFill="1" applyBorder="1" applyAlignment="1">
      <alignment horizontal="center"/>
    </xf>
    <xf numFmtId="9" fontId="0" fillId="0" borderId="0" xfId="1" applyFont="1" applyBorder="1" applyAlignment="1">
      <alignment horizontal="center"/>
    </xf>
    <xf numFmtId="9" fontId="3" fillId="13" borderId="0" xfId="1" applyFont="1" applyFill="1" applyBorder="1" applyAlignment="1">
      <alignment horizontal="center"/>
    </xf>
    <xf numFmtId="0" fontId="30" fillId="6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vertical="center" wrapText="1"/>
    </xf>
    <xf numFmtId="3" fontId="0" fillId="3" borderId="2" xfId="0" applyNumberFormat="1" applyFill="1" applyBorder="1" applyAlignment="1">
      <alignment horizontal="center"/>
    </xf>
    <xf numFmtId="4" fontId="4" fillId="0" borderId="0" xfId="0" applyNumberFormat="1" applyFont="1" applyFill="1" applyBorder="1"/>
    <xf numFmtId="3" fontId="0" fillId="0" borderId="0" xfId="0" applyNumberFormat="1" applyFill="1" applyBorder="1"/>
    <xf numFmtId="0" fontId="30" fillId="11" borderId="2" xfId="0" applyFont="1" applyFill="1" applyBorder="1" applyAlignment="1">
      <alignment horizontal="center" vertical="center" wrapText="1"/>
    </xf>
    <xf numFmtId="1" fontId="4" fillId="12" borderId="2" xfId="0" applyNumberFormat="1" applyFon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33" fillId="0" borderId="0" xfId="0" applyFont="1"/>
    <xf numFmtId="0" fontId="0" fillId="0" borderId="0" xfId="0" applyFill="1" applyBorder="1" applyAlignment="1">
      <alignment horizontal="left"/>
    </xf>
    <xf numFmtId="9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65" fontId="34" fillId="0" borderId="2" xfId="1" applyNumberFormat="1" applyFont="1" applyFill="1" applyBorder="1" applyAlignment="1">
      <alignment horizontal="center"/>
    </xf>
    <xf numFmtId="3" fontId="35" fillId="0" borderId="2" xfId="0" applyNumberFormat="1" applyFont="1" applyBorder="1" applyAlignment="1">
      <alignment horizontal="center"/>
    </xf>
    <xf numFmtId="0" fontId="0" fillId="0" borderId="6" xfId="0" applyFill="1" applyBorder="1" applyAlignment="1">
      <alignment horizontal="left"/>
    </xf>
    <xf numFmtId="0" fontId="15" fillId="0" borderId="1" xfId="0" applyFont="1" applyBorder="1" applyAlignment="1"/>
    <xf numFmtId="0" fontId="15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3" fillId="16" borderId="2" xfId="0" applyFont="1" applyFill="1" applyBorder="1" applyAlignment="1">
      <alignment horizontal="center" vertical="center" wrapText="1"/>
    </xf>
    <xf numFmtId="0" fontId="12" fillId="0" borderId="0" xfId="0" applyFont="1" applyAlignment="1"/>
    <xf numFmtId="9" fontId="4" fillId="8" borderId="2" xfId="1" applyNumberFormat="1" applyFont="1" applyFill="1" applyBorder="1" applyAlignment="1">
      <alignment horizontal="center"/>
    </xf>
    <xf numFmtId="9" fontId="4" fillId="12" borderId="2" xfId="1" applyNumberFormat="1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 vertical="center" wrapText="1"/>
    </xf>
    <xf numFmtId="0" fontId="3" fillId="16" borderId="6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9" fillId="6" borderId="2" xfId="0" applyNumberFormat="1" applyFont="1" applyFill="1" applyBorder="1" applyAlignment="1">
      <alignment horizontal="center" vertical="center"/>
    </xf>
    <xf numFmtId="9" fontId="0" fillId="0" borderId="0" xfId="1" applyNumberFormat="1" applyFont="1"/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/>
    <xf numFmtId="0" fontId="0" fillId="15" borderId="2" xfId="0" applyFill="1" applyBorder="1" applyAlignment="1">
      <alignment horizontal="left"/>
    </xf>
    <xf numFmtId="3" fontId="0" fillId="0" borderId="2" xfId="0" applyNumberFormat="1" applyBorder="1"/>
    <xf numFmtId="0" fontId="0" fillId="18" borderId="2" xfId="0" applyFill="1" applyBorder="1" applyAlignment="1">
      <alignment horizontal="left"/>
    </xf>
    <xf numFmtId="0" fontId="0" fillId="15" borderId="2" xfId="0" applyFill="1" applyBorder="1" applyAlignment="1"/>
    <xf numFmtId="3" fontId="0" fillId="0" borderId="0" xfId="0" applyNumberFormat="1" applyBorder="1"/>
    <xf numFmtId="9" fontId="0" fillId="0" borderId="2" xfId="1" applyFont="1" applyBorder="1" applyAlignment="1"/>
    <xf numFmtId="0" fontId="0" fillId="0" borderId="0" xfId="0" applyAlignment="1">
      <alignment horizontal="left"/>
    </xf>
    <xf numFmtId="0" fontId="3" fillId="16" borderId="2" xfId="0" applyFont="1" applyFill="1" applyBorder="1" applyAlignment="1">
      <alignment horizontal="center" vertical="center" wrapText="1"/>
    </xf>
    <xf numFmtId="9" fontId="0" fillId="0" borderId="0" xfId="1" applyNumberFormat="1" applyFont="1" applyFill="1" applyBorder="1" applyAlignment="1">
      <alignment horizontal="center"/>
    </xf>
    <xf numFmtId="3" fontId="0" fillId="0" borderId="0" xfId="0" applyNumberFormat="1" applyAlignment="1"/>
    <xf numFmtId="0" fontId="0" fillId="24" borderId="12" xfId="0" applyFill="1" applyBorder="1"/>
    <xf numFmtId="0" fontId="0" fillId="24" borderId="12" xfId="0" applyFill="1" applyBorder="1" applyAlignment="1">
      <alignment horizontal="center" vertical="center" wrapText="1"/>
    </xf>
    <xf numFmtId="0" fontId="0" fillId="24" borderId="12" xfId="0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 wrapText="1"/>
    </xf>
    <xf numFmtId="0" fontId="0" fillId="15" borderId="12" xfId="0" applyFill="1" applyBorder="1" applyAlignment="1">
      <alignment horizontal="center" vertical="center"/>
    </xf>
    <xf numFmtId="0" fontId="0" fillId="15" borderId="12" xfId="0" applyFill="1" applyBorder="1"/>
    <xf numFmtId="0" fontId="0" fillId="12" borderId="12" xfId="0" applyFill="1" applyBorder="1" applyAlignment="1">
      <alignment horizontal="center" vertical="center" wrapText="1"/>
    </xf>
    <xf numFmtId="0" fontId="0" fillId="12" borderId="12" xfId="0" applyFill="1" applyBorder="1" applyAlignment="1">
      <alignment vertical="center"/>
    </xf>
    <xf numFmtId="0" fontId="0" fillId="12" borderId="12" xfId="0" applyFill="1" applyBorder="1"/>
    <xf numFmtId="0" fontId="0" fillId="18" borderId="12" xfId="0" applyFill="1" applyBorder="1"/>
    <xf numFmtId="0" fontId="0" fillId="18" borderId="12" xfId="0" applyFill="1" applyBorder="1" applyAlignment="1">
      <alignment horizontal="center" vertical="center" wrapText="1"/>
    </xf>
    <xf numFmtId="0" fontId="0" fillId="18" borderId="12" xfId="0" applyFill="1" applyBorder="1" applyAlignment="1">
      <alignment horizontal="center" vertical="center"/>
    </xf>
    <xf numFmtId="0" fontId="36" fillId="0" borderId="0" xfId="0" applyFont="1"/>
    <xf numFmtId="0" fontId="37" fillId="0" borderId="0" xfId="0" applyFont="1"/>
    <xf numFmtId="0" fontId="21" fillId="6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3" fillId="1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3" fillId="11" borderId="1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3" fillId="16" borderId="4" xfId="0" applyFont="1" applyFill="1" applyBorder="1" applyAlignment="1">
      <alignment horizontal="center"/>
    </xf>
    <xf numFmtId="0" fontId="3" fillId="16" borderId="5" xfId="0" applyFont="1" applyFill="1" applyBorder="1" applyAlignment="1">
      <alignment horizontal="center"/>
    </xf>
    <xf numFmtId="0" fontId="3" fillId="16" borderId="3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/>
    </xf>
  </cellXfs>
  <cellStyles count="3">
    <cellStyle name="Hipervínculo" xfId="2" builtinId="8"/>
    <cellStyle name="Normal" xfId="0" builtinId="0"/>
    <cellStyle name="Porcentaje" xfId="1" builtinId="5"/>
  </cellStyles>
  <dxfs count="2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colors>
    <mruColors>
      <color rgb="FFD7AE85"/>
      <color rgb="FF2B8F1D"/>
      <color rgb="FFCB9763"/>
      <color rgb="FF996633"/>
      <color rgb="FF663300"/>
      <color rgb="FF15B70D"/>
      <color rgb="FF88F682"/>
      <color rgb="FFE7CFB7"/>
      <color rgb="FFCB9661"/>
      <color rgb="FFDEF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Frutos Secos en Secano: </a:t>
            </a:r>
          </a:p>
          <a:p>
            <a:pPr>
              <a:defRPr/>
            </a:pPr>
            <a:r>
              <a:rPr lang="es-ES" sz="1400" b="0" i="0" baseline="0">
                <a:effectLst/>
              </a:rPr>
              <a:t>Superficies anuales 2020 vs RSU REGEPA 2020</a:t>
            </a:r>
            <a:endParaRPr lang="es-ES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'Frutos secos TOTAL'!$N$77</c:f>
              <c:strCache>
                <c:ptCount val="1"/>
                <c:pt idx="0">
                  <c:v>Superficies anuales 2020 (ha)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0555555555555506E-2"/>
                  <c:y val="0"/>
                </c:manualLayout>
              </c:layout>
              <c:tx>
                <c:rich>
                  <a:bodyPr/>
                  <a:lstStyle/>
                  <a:p>
                    <a:fld id="{9C81C803-A662-4600-ABBA-4CAA1D5C141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2.7777777777777728E-2"/>
                  <c:y val="0"/>
                </c:manualLayout>
              </c:layout>
              <c:tx>
                <c:rich>
                  <a:bodyPr/>
                  <a:lstStyle/>
                  <a:p>
                    <a:fld id="{5AE0CEA8-31A9-40B2-9570-96F4CE8E810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3.8888888888888785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B2CF1E10-1643-4721-ADFD-8C9B8A42F70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3.0555555555555454E-2"/>
                  <c:y val="-4.6296296296296294E-3"/>
                </c:manualLayout>
              </c:layout>
              <c:tx>
                <c:rich>
                  <a:bodyPr/>
                  <a:lstStyle/>
                  <a:p>
                    <a:fld id="{FE41D682-5383-4D8A-A2B0-77BDE31ED11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'Frutos secos TOTAL'!$M$78:$M$81</c:f>
              <c:strCache>
                <c:ptCount val="4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</c:strCache>
            </c:strRef>
          </c:cat>
          <c:val>
            <c:numRef>
              <c:f>'Frutos secos TOTAL'!$N$78:$N$81</c:f>
              <c:numCache>
                <c:formatCode>#,##0</c:formatCode>
                <c:ptCount val="4"/>
                <c:pt idx="0">
                  <c:v>600338</c:v>
                </c:pt>
                <c:pt idx="1">
                  <c:v>33835</c:v>
                </c:pt>
                <c:pt idx="2">
                  <c:v>4769</c:v>
                </c:pt>
                <c:pt idx="3">
                  <c:v>41307.164800000013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'Frutos secos TOTAL'!$P$78:$P$81</c15:f>
                <c15:dlblRangeCache>
                  <c:ptCount val="4"/>
                  <c:pt idx="0">
                    <c:v>83%</c:v>
                  </c:pt>
                  <c:pt idx="1">
                    <c:v>108%</c:v>
                  </c:pt>
                  <c:pt idx="2">
                    <c:v>69%</c:v>
                  </c:pt>
                  <c:pt idx="3">
                    <c:v>35%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'Frutos secos TOTAL'!$O$77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'Frutos secos TOTAL'!$M$78:$M$81</c:f>
              <c:strCache>
                <c:ptCount val="4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</c:strCache>
            </c:strRef>
          </c:cat>
          <c:val>
            <c:numRef>
              <c:f>'Frutos secos TOTAL'!$O$78:$O$81</c:f>
              <c:numCache>
                <c:formatCode>#,##0</c:formatCode>
                <c:ptCount val="4"/>
                <c:pt idx="0">
                  <c:v>497047.77999999985</c:v>
                </c:pt>
                <c:pt idx="1">
                  <c:v>36509.740000000005</c:v>
                </c:pt>
                <c:pt idx="2">
                  <c:v>3310.98</c:v>
                </c:pt>
                <c:pt idx="3">
                  <c:v>14371.140000000003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226448"/>
        <c:axId val="970217200"/>
        <c:axId val="0"/>
      </c:bar3DChart>
      <c:catAx>
        <c:axId val="97022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17200"/>
        <c:crosses val="autoZero"/>
        <c:auto val="1"/>
        <c:lblAlgn val="ctr"/>
        <c:lblOffset val="100"/>
        <c:noMultiLvlLbl val="0"/>
      </c:catAx>
      <c:valAx>
        <c:axId val="97021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chemeClr val="tx1"/>
                </a:solidFill>
              </a:rPr>
              <a:t>Distribución de la Superficie</a:t>
            </a:r>
            <a:r>
              <a:rPr lang="es-ES" baseline="0">
                <a:solidFill>
                  <a:schemeClr val="tx1"/>
                </a:solidFill>
              </a:rPr>
              <a:t> </a:t>
            </a:r>
            <a:r>
              <a:rPr lang="es-ES" b="1" baseline="0">
                <a:solidFill>
                  <a:schemeClr val="tx1"/>
                </a:solidFill>
              </a:rPr>
              <a:t>Total de Frutos Secos </a:t>
            </a:r>
            <a:r>
              <a:rPr lang="es-ES" baseline="0">
                <a:solidFill>
                  <a:schemeClr val="tx1"/>
                </a:solidFill>
              </a:rPr>
              <a:t>en </a:t>
            </a:r>
            <a:r>
              <a:rPr lang="es-ES">
                <a:solidFill>
                  <a:schemeClr val="tx1"/>
                </a:solidFill>
              </a:rPr>
              <a:t>RSU REGEPA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1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'Frutos secos TOTAL'!$Z$5</c:f>
              <c:strCache>
                <c:ptCount val="1"/>
                <c:pt idx="0">
                  <c:v>RSU REGEPA 2020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0.25595601308849675"/>
                  <c:y val="6.68871053497734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0446313755372609"/>
                  <c:y val="0.137187128136314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'Frutos secos TOTAL'!$Y$6:$Y$11</c:f>
              <c:strCache>
                <c:ptCount val="6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  <c:pt idx="4">
                  <c:v>Castaño</c:v>
                </c:pt>
                <c:pt idx="5">
                  <c:v>Nogal</c:v>
                </c:pt>
              </c:strCache>
            </c:strRef>
          </c:cat>
          <c:val>
            <c:numRef>
              <c:f>'Frutos secos TOTAL'!$Z$6:$Z$11</c:f>
              <c:numCache>
                <c:formatCode>#,##0</c:formatCode>
                <c:ptCount val="6"/>
                <c:pt idx="0">
                  <c:v>596525.7799999998</c:v>
                </c:pt>
                <c:pt idx="1">
                  <c:v>48238.960000000006</c:v>
                </c:pt>
                <c:pt idx="2">
                  <c:v>10222.830000000004</c:v>
                </c:pt>
                <c:pt idx="3">
                  <c:v>15087.090000000004</c:v>
                </c:pt>
                <c:pt idx="4">
                  <c:v>9700.739999999998</c:v>
                </c:pt>
                <c:pt idx="5">
                  <c:v>9551.43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ALMENDRA: Regadío</a:t>
            </a:r>
          </a:p>
          <a:p>
            <a:pPr>
              <a:defRPr/>
            </a:pPr>
            <a:r>
              <a:rPr lang="en-US"/>
              <a:t>Plantaciones en producción por variedad (&gt;2018)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'ALM-VAR-EDAD'!$A$3</c:f>
              <c:strCache>
                <c:ptCount val="1"/>
                <c:pt idx="0">
                  <c:v>ALMENDRA: Secano</c:v>
                </c:pt>
              </c:strCache>
            </c:strRef>
          </c:tx>
          <c:spPr>
            <a:solidFill>
              <a:srgbClr val="88F682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AB38B50-1C1D-4278-8E53-AA5D2D3A1A7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98BC404-DCFF-454D-82D4-2892FA4C0E5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5323C8C-0E22-4A13-8228-18E1D2B28DB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BC15861-02AD-45AA-B38B-4EDE5B8A28E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0860377-E9C2-4E97-B35F-83B7D51434D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7AFD3E0-F920-4519-81A5-23E97721E51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B467A07-E662-4780-BD37-38AF029FEC9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D57DA29-6AFF-422E-9A6A-1E51DF05CEE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6F75B419-6CAE-4BD5-B2F1-E1171FF2148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8DFA08DC-124C-4D00-BFDC-A2952EAD9BC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B4276BE-AD3B-4C11-8C29-2676D2C779E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4EF23168-F164-4B9E-8DED-BA643D4ECDC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0709B496-3810-484D-94B0-3A37E1C3321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CAFD3A6C-EB13-4849-AB4C-2A098535DB1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F09EABF3-8308-48A9-8DA9-BE607E0ACBC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A7A42206-56DD-43EB-B0B9-C541241EF4E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EBE35539-FA46-4931-A264-54FBF7BD42F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277F13FA-33F6-4936-B72D-D741866826C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'ALM-VAR-EDAD'!$A$33:$A$50</c:f>
              <c:strCache>
                <c:ptCount val="18"/>
                <c:pt idx="0">
                  <c:v>GUARA</c:v>
                </c:pt>
                <c:pt idx="1">
                  <c:v>LAURANNE</c:v>
                </c:pt>
                <c:pt idx="2">
                  <c:v>VAIRO</c:v>
                </c:pt>
                <c:pt idx="3">
                  <c:v>COMUNA</c:v>
                </c:pt>
                <c:pt idx="4">
                  <c:v>SOLETA</c:v>
                </c:pt>
                <c:pt idx="5">
                  <c:v>MARINADA</c:v>
                </c:pt>
                <c:pt idx="6">
                  <c:v>AVIJOR</c:v>
                </c:pt>
                <c:pt idx="7">
                  <c:v>PENTACEBAS CSIC</c:v>
                </c:pt>
                <c:pt idx="8">
                  <c:v>LARGUETA</c:v>
                </c:pt>
                <c:pt idx="9">
                  <c:v>FERRAGNES</c:v>
                </c:pt>
                <c:pt idx="10">
                  <c:v>MARCONA</c:v>
                </c:pt>
                <c:pt idx="11">
                  <c:v>ANTOÑETA</c:v>
                </c:pt>
                <c:pt idx="12">
                  <c:v>ISABELONA</c:v>
                </c:pt>
                <c:pt idx="13">
                  <c:v>FERRADUEL</c:v>
                </c:pt>
                <c:pt idx="14">
                  <c:v>CONSTANTI</c:v>
                </c:pt>
                <c:pt idx="15">
                  <c:v>MARTA</c:v>
                </c:pt>
                <c:pt idx="16">
                  <c:v>NON PAREIL</c:v>
                </c:pt>
                <c:pt idx="17">
                  <c:v>DESMAYO ROJO</c:v>
                </c:pt>
              </c:strCache>
            </c:strRef>
          </c:cat>
          <c:val>
            <c:numRef>
              <c:f>'ALM-VAR-EDAD'!$B$33:$B$50</c:f>
              <c:numCache>
                <c:formatCode>#,##0</c:formatCode>
                <c:ptCount val="18"/>
                <c:pt idx="0">
                  <c:v>18958.989999999991</c:v>
                </c:pt>
                <c:pt idx="1">
                  <c:v>10061.969999999987</c:v>
                </c:pt>
                <c:pt idx="2">
                  <c:v>5371.8099999999949</c:v>
                </c:pt>
                <c:pt idx="3">
                  <c:v>5370.3399999999947</c:v>
                </c:pt>
                <c:pt idx="4">
                  <c:v>3934.6200000000013</c:v>
                </c:pt>
                <c:pt idx="5">
                  <c:v>3496.9300000000003</c:v>
                </c:pt>
                <c:pt idx="6">
                  <c:v>2184.8299999999995</c:v>
                </c:pt>
                <c:pt idx="7">
                  <c:v>2155.6799999999998</c:v>
                </c:pt>
                <c:pt idx="8">
                  <c:v>2090.7099999999978</c:v>
                </c:pt>
                <c:pt idx="9">
                  <c:v>2070.8199999999997</c:v>
                </c:pt>
                <c:pt idx="10">
                  <c:v>2065.1699999999983</c:v>
                </c:pt>
                <c:pt idx="11">
                  <c:v>1655.8699999999988</c:v>
                </c:pt>
                <c:pt idx="12">
                  <c:v>1361.6200000000001</c:v>
                </c:pt>
                <c:pt idx="13">
                  <c:v>1361.95</c:v>
                </c:pt>
                <c:pt idx="14">
                  <c:v>901.51000000000056</c:v>
                </c:pt>
                <c:pt idx="15">
                  <c:v>895.25999999999954</c:v>
                </c:pt>
                <c:pt idx="16">
                  <c:v>230.18</c:v>
                </c:pt>
                <c:pt idx="17">
                  <c:v>200.50000000000006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'ALM-VAR-EDAD'!$C$33:$C$50</c15:f>
                <c15:dlblRangeCache>
                  <c:ptCount val="18"/>
                  <c:pt idx="0">
                    <c:v>26%</c:v>
                  </c:pt>
                  <c:pt idx="1">
                    <c:v>14%</c:v>
                  </c:pt>
                  <c:pt idx="2">
                    <c:v>7%</c:v>
                  </c:pt>
                  <c:pt idx="3">
                    <c:v>7%</c:v>
                  </c:pt>
                  <c:pt idx="4">
                    <c:v>5%</c:v>
                  </c:pt>
                  <c:pt idx="5">
                    <c:v>5%</c:v>
                  </c:pt>
                  <c:pt idx="6">
                    <c:v>3%</c:v>
                  </c:pt>
                  <c:pt idx="7">
                    <c:v>3%</c:v>
                  </c:pt>
                  <c:pt idx="8">
                    <c:v>3%</c:v>
                  </c:pt>
                  <c:pt idx="9">
                    <c:v>3%</c:v>
                  </c:pt>
                  <c:pt idx="10">
                    <c:v>3%</c:v>
                  </c:pt>
                  <c:pt idx="11">
                    <c:v>2%</c:v>
                  </c:pt>
                  <c:pt idx="12">
                    <c:v>2%</c:v>
                  </c:pt>
                  <c:pt idx="13">
                    <c:v>2%</c:v>
                  </c:pt>
                  <c:pt idx="14">
                    <c:v>1%</c:v>
                  </c:pt>
                  <c:pt idx="15">
                    <c:v>1%</c:v>
                  </c:pt>
                  <c:pt idx="16">
                    <c:v>0%</c:v>
                  </c:pt>
                  <c:pt idx="17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9094992"/>
        <c:axId val="1089083024"/>
      </c:barChart>
      <c:catAx>
        <c:axId val="108909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83024"/>
        <c:crosses val="autoZero"/>
        <c:auto val="1"/>
        <c:lblAlgn val="ctr"/>
        <c:lblOffset val="100"/>
        <c:noMultiLvlLbl val="0"/>
      </c:catAx>
      <c:valAx>
        <c:axId val="108908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9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ALMENDRA: Secano</a:t>
            </a:r>
          </a:p>
          <a:p>
            <a:pPr>
              <a:defRPr/>
            </a:pPr>
            <a:r>
              <a:rPr lang="en-US"/>
              <a:t>Plantaciones jóvenes por variedad (2017-20)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'ALM-VAR-EDAD'!$A$3</c:f>
              <c:strCache>
                <c:ptCount val="1"/>
                <c:pt idx="0">
                  <c:v>ALMENDRA: Secano</c:v>
                </c:pt>
              </c:strCache>
            </c:strRef>
          </c:tx>
          <c:spPr>
            <a:solidFill>
              <a:srgbClr val="996633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622304B-FE3C-4EC5-A6A9-2DC9639376F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F04A166-A8CE-469E-84B4-896D7A47CA4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C3F166D-E1E6-44E9-97C2-93D8DBCFF31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3485DD3-8567-4635-8036-0E20363A78F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4640C47-733B-4A0C-84B5-9ABA428736E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62E2A6C9-CD15-4FB1-AF0E-B3D32AA9902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0EB0C87-F5AC-41B9-9FB3-9EB08F23B5D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A92DDA13-3183-44AA-998F-6CB60B658F1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E7C089E-9E60-4B3F-A441-27C94B4784F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4667AC8-3E44-4D73-9FE5-F636DC9F83B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9CB1FFB9-2E1B-49C5-B4A3-00E64DBDDB8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87930665-AA09-4E65-A3F1-2541B5FD9C3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784F39AD-A837-498E-9EEC-1BEA4BF30B6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E0A3E88A-53F0-44AF-BAFD-4638E893E35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D07B0CF4-7505-45C7-A5A7-10BB7C9DB8B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2A72A689-493F-43AA-9B49-BC9D869820F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662045BD-ED7E-46F9-B4A2-DDC9BB586A8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C8A0296C-16D4-4CA3-8403-E9B23B64F21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'ALM-VAR-EDAD'!$D$6:$D$23</c:f>
              <c:strCache>
                <c:ptCount val="18"/>
                <c:pt idx="0">
                  <c:v>GUARA</c:v>
                </c:pt>
                <c:pt idx="1">
                  <c:v>LAURANNE</c:v>
                </c:pt>
                <c:pt idx="2">
                  <c:v>AVIJOR</c:v>
                </c:pt>
                <c:pt idx="3">
                  <c:v>PENTACEBAS CSIC</c:v>
                </c:pt>
                <c:pt idx="4">
                  <c:v>VAIRO</c:v>
                </c:pt>
                <c:pt idx="5">
                  <c:v>CONSTANTI</c:v>
                </c:pt>
                <c:pt idx="6">
                  <c:v>COMUNA</c:v>
                </c:pt>
                <c:pt idx="7">
                  <c:v>MARINADA</c:v>
                </c:pt>
                <c:pt idx="8">
                  <c:v>SOLETA</c:v>
                </c:pt>
                <c:pt idx="9">
                  <c:v>MARCONA</c:v>
                </c:pt>
                <c:pt idx="10">
                  <c:v>ANTOÑETA</c:v>
                </c:pt>
                <c:pt idx="11">
                  <c:v>ISABELONA</c:v>
                </c:pt>
                <c:pt idx="12">
                  <c:v>LARGUETA</c:v>
                </c:pt>
                <c:pt idx="13">
                  <c:v>FERRAGES</c:v>
                </c:pt>
                <c:pt idx="14">
                  <c:v>MARTA</c:v>
                </c:pt>
                <c:pt idx="15">
                  <c:v>FERRADUEL</c:v>
                </c:pt>
                <c:pt idx="16">
                  <c:v>DESMAYO ROJO</c:v>
                </c:pt>
                <c:pt idx="17">
                  <c:v>NON PAREIL</c:v>
                </c:pt>
              </c:strCache>
            </c:strRef>
          </c:cat>
          <c:val>
            <c:numRef>
              <c:f>'ALM-VAR-EDAD'!$E$6:$E$23</c:f>
              <c:numCache>
                <c:formatCode>#,##0</c:formatCode>
                <c:ptCount val="18"/>
                <c:pt idx="0">
                  <c:v>29014.879999999997</c:v>
                </c:pt>
                <c:pt idx="1">
                  <c:v>16185.31</c:v>
                </c:pt>
                <c:pt idx="2">
                  <c:v>6523.9699999999993</c:v>
                </c:pt>
                <c:pt idx="3">
                  <c:v>3660.4599999999996</c:v>
                </c:pt>
                <c:pt idx="4">
                  <c:v>3619.1900000000014</c:v>
                </c:pt>
                <c:pt idx="5">
                  <c:v>2972.7700000000009</c:v>
                </c:pt>
                <c:pt idx="6">
                  <c:v>2520.2799999999997</c:v>
                </c:pt>
                <c:pt idx="7">
                  <c:v>1942.2299999999993</c:v>
                </c:pt>
                <c:pt idx="8">
                  <c:v>1221.5299999999995</c:v>
                </c:pt>
                <c:pt idx="9">
                  <c:v>845.18999999999994</c:v>
                </c:pt>
                <c:pt idx="10">
                  <c:v>782.12</c:v>
                </c:pt>
                <c:pt idx="11">
                  <c:v>750.3100000000004</c:v>
                </c:pt>
                <c:pt idx="12">
                  <c:v>628.60999999999979</c:v>
                </c:pt>
                <c:pt idx="13">
                  <c:v>503</c:v>
                </c:pt>
                <c:pt idx="14">
                  <c:v>371.22</c:v>
                </c:pt>
                <c:pt idx="15">
                  <c:v>359.62</c:v>
                </c:pt>
                <c:pt idx="16">
                  <c:v>99.690000000000012</c:v>
                </c:pt>
                <c:pt idx="17">
                  <c:v>4.59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'ALM-VAR-EDAD'!$F$6:$F$23</c15:f>
                <c15:dlblRangeCache>
                  <c:ptCount val="18"/>
                  <c:pt idx="0">
                    <c:v>36%</c:v>
                  </c:pt>
                  <c:pt idx="1">
                    <c:v>20%</c:v>
                  </c:pt>
                  <c:pt idx="2">
                    <c:v>8%</c:v>
                  </c:pt>
                  <c:pt idx="3">
                    <c:v>5%</c:v>
                  </c:pt>
                  <c:pt idx="4">
                    <c:v>4%</c:v>
                  </c:pt>
                  <c:pt idx="5">
                    <c:v>4%</c:v>
                  </c:pt>
                  <c:pt idx="6">
                    <c:v>3%</c:v>
                  </c:pt>
                  <c:pt idx="7">
                    <c:v>2%</c:v>
                  </c:pt>
                  <c:pt idx="8">
                    <c:v>2%</c:v>
                  </c:pt>
                  <c:pt idx="9">
                    <c:v>1%</c:v>
                  </c:pt>
                  <c:pt idx="10">
                    <c:v>1%</c:v>
                  </c:pt>
                  <c:pt idx="11">
                    <c:v>1%</c:v>
                  </c:pt>
                  <c:pt idx="12">
                    <c:v>1%</c:v>
                  </c:pt>
                  <c:pt idx="13">
                    <c:v>1%</c:v>
                  </c:pt>
                  <c:pt idx="14">
                    <c:v>0%</c:v>
                  </c:pt>
                  <c:pt idx="15">
                    <c:v>0%</c:v>
                  </c:pt>
                  <c:pt idx="16">
                    <c:v>0%</c:v>
                  </c:pt>
                  <c:pt idx="17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1089093904"/>
        <c:axId val="1089066704"/>
      </c:barChart>
      <c:catAx>
        <c:axId val="108909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66704"/>
        <c:crosses val="autoZero"/>
        <c:auto val="1"/>
        <c:lblAlgn val="ctr"/>
        <c:lblOffset val="100"/>
        <c:noMultiLvlLbl val="0"/>
      </c:catAx>
      <c:valAx>
        <c:axId val="108906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9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ALMENDRA: Regadío</a:t>
            </a:r>
          </a:p>
          <a:p>
            <a:pPr>
              <a:defRPr/>
            </a:pPr>
            <a:r>
              <a:rPr lang="en-US"/>
              <a:t>Plantaciones jovénes por variedad (2018-20)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'ALM-VAR-EDAD'!$A$3</c:f>
              <c:strCache>
                <c:ptCount val="1"/>
                <c:pt idx="0">
                  <c:v>ALMENDRA: Secano</c:v>
                </c:pt>
              </c:strCache>
            </c:strRef>
          </c:tx>
          <c:spPr>
            <a:solidFill>
              <a:srgbClr val="15B70D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9CD4F41-B7F7-40D8-8A3F-41D7CEADE94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F461299-BBB5-47DD-BF90-BAA2D710F61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EEE342B-9BAB-4A0F-B24D-B53D56C2B01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E122DDF-73BC-4443-9B3C-F27FDC0B40E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93C8012-FB36-4D81-997B-EA16B7D33AF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FF659406-7D67-4610-A1AE-D5136850445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89F5993-F1D6-4FCA-8B35-B5A6194760E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C7D49BE-B90B-4B92-9FF6-97C02EEC424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FA0FB5BC-44FE-4DE8-B8E9-E13BB6CCA92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A85A8435-C203-4546-89C9-17BE4ABC9B7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17C7854-F791-49F4-A785-6651BD1F287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26008FFF-840E-4B99-BB76-F0C73D8AE0D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12CA5A39-1E5F-4017-81B9-CDA9CE91422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543F770A-CA55-4843-A3E1-E45BFCCD605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0D4B8947-8957-46AA-BDAE-33E24CC4EE9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1FF0A120-61A2-4E0B-AAD1-AA1F737B832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67A06331-AA27-4A13-9D92-FD1D3EE795A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747BB64D-218A-4A59-96EC-85C46D348C3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'ALM-VAR-EDAD'!$D$33:$D$50</c:f>
              <c:strCache>
                <c:ptCount val="18"/>
                <c:pt idx="0">
                  <c:v>LAURANNE</c:v>
                </c:pt>
                <c:pt idx="1">
                  <c:v>GUARA</c:v>
                </c:pt>
                <c:pt idx="2">
                  <c:v>AVIJOR</c:v>
                </c:pt>
                <c:pt idx="3">
                  <c:v>MARINADA</c:v>
                </c:pt>
                <c:pt idx="4">
                  <c:v>PENTACEBAS CSIC</c:v>
                </c:pt>
                <c:pt idx="5">
                  <c:v>VAIRO</c:v>
                </c:pt>
                <c:pt idx="6">
                  <c:v>SOLETA</c:v>
                </c:pt>
                <c:pt idx="7">
                  <c:v>ISABELONA</c:v>
                </c:pt>
                <c:pt idx="8">
                  <c:v>CONSTANTI</c:v>
                </c:pt>
                <c:pt idx="9">
                  <c:v>NON PAREIL</c:v>
                </c:pt>
                <c:pt idx="10">
                  <c:v>ANTOÑETA</c:v>
                </c:pt>
                <c:pt idx="11">
                  <c:v>COMUNA</c:v>
                </c:pt>
                <c:pt idx="12">
                  <c:v>MARTA</c:v>
                </c:pt>
                <c:pt idx="13">
                  <c:v>MARCONA</c:v>
                </c:pt>
                <c:pt idx="14">
                  <c:v>LARGUETA</c:v>
                </c:pt>
                <c:pt idx="15">
                  <c:v>FERRADUEL</c:v>
                </c:pt>
                <c:pt idx="16">
                  <c:v>FERRAGNES</c:v>
                </c:pt>
                <c:pt idx="17">
                  <c:v>DESMAYO ROJO</c:v>
                </c:pt>
              </c:strCache>
            </c:strRef>
          </c:cat>
          <c:val>
            <c:numRef>
              <c:f>'ALM-VAR-EDAD'!$E$33:$E$50</c:f>
              <c:numCache>
                <c:formatCode>#,##0</c:formatCode>
                <c:ptCount val="18"/>
                <c:pt idx="0">
                  <c:v>6473.5499999999993</c:v>
                </c:pt>
                <c:pt idx="1">
                  <c:v>3268.4699999999993</c:v>
                </c:pt>
                <c:pt idx="2">
                  <c:v>3067.2499999999995</c:v>
                </c:pt>
                <c:pt idx="3">
                  <c:v>2255.44</c:v>
                </c:pt>
                <c:pt idx="4">
                  <c:v>2220.8099999999995</c:v>
                </c:pt>
                <c:pt idx="5">
                  <c:v>1622.3</c:v>
                </c:pt>
                <c:pt idx="6">
                  <c:v>1283.6500000000001</c:v>
                </c:pt>
                <c:pt idx="7">
                  <c:v>1012.29</c:v>
                </c:pt>
                <c:pt idx="8">
                  <c:v>536.88000000000022</c:v>
                </c:pt>
                <c:pt idx="9">
                  <c:v>478.97</c:v>
                </c:pt>
                <c:pt idx="10">
                  <c:v>416.36999999999989</c:v>
                </c:pt>
                <c:pt idx="11">
                  <c:v>363.47000000000014</c:v>
                </c:pt>
                <c:pt idx="12">
                  <c:v>299.81</c:v>
                </c:pt>
                <c:pt idx="13">
                  <c:v>159.26</c:v>
                </c:pt>
                <c:pt idx="14">
                  <c:v>70.33</c:v>
                </c:pt>
                <c:pt idx="15">
                  <c:v>43.84</c:v>
                </c:pt>
                <c:pt idx="16">
                  <c:v>31.299999999999997</c:v>
                </c:pt>
                <c:pt idx="17">
                  <c:v>13.280000000000001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'ALM-VAR-EDAD'!$F$33:$F$50</c15:f>
                <c15:dlblRangeCache>
                  <c:ptCount val="18"/>
                  <c:pt idx="0">
                    <c:v>25%</c:v>
                  </c:pt>
                  <c:pt idx="1">
                    <c:v>13%</c:v>
                  </c:pt>
                  <c:pt idx="2">
                    <c:v>12%</c:v>
                  </c:pt>
                  <c:pt idx="3">
                    <c:v>9%</c:v>
                  </c:pt>
                  <c:pt idx="4">
                    <c:v>9%</c:v>
                  </c:pt>
                  <c:pt idx="5">
                    <c:v>6%</c:v>
                  </c:pt>
                  <c:pt idx="6">
                    <c:v>5%</c:v>
                  </c:pt>
                  <c:pt idx="7">
                    <c:v>4%</c:v>
                  </c:pt>
                  <c:pt idx="8">
                    <c:v>2%</c:v>
                  </c:pt>
                  <c:pt idx="9">
                    <c:v>2%</c:v>
                  </c:pt>
                  <c:pt idx="10">
                    <c:v>2%</c:v>
                  </c:pt>
                  <c:pt idx="11">
                    <c:v>1%</c:v>
                  </c:pt>
                  <c:pt idx="12">
                    <c:v>1%</c:v>
                  </c:pt>
                  <c:pt idx="13">
                    <c:v>1%</c:v>
                  </c:pt>
                  <c:pt idx="14">
                    <c:v>0%</c:v>
                  </c:pt>
                  <c:pt idx="15">
                    <c:v>0%</c:v>
                  </c:pt>
                  <c:pt idx="16">
                    <c:v>0%</c:v>
                  </c:pt>
                  <c:pt idx="17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9062896"/>
        <c:axId val="1089079760"/>
      </c:barChart>
      <c:catAx>
        <c:axId val="108906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79760"/>
        <c:crosses val="autoZero"/>
        <c:auto val="1"/>
        <c:lblAlgn val="ctr"/>
        <c:lblOffset val="100"/>
        <c:noMultiLvlLbl val="0"/>
      </c:catAx>
      <c:valAx>
        <c:axId val="108907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6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PISTACHO: Secano </a:t>
            </a:r>
          </a:p>
          <a:p>
            <a:pPr>
              <a:defRPr/>
            </a:pPr>
            <a:r>
              <a:rPr lang="en-US"/>
              <a:t>Plantaciones</a:t>
            </a:r>
            <a:r>
              <a:rPr lang="en-US" baseline="0"/>
              <a:t> en producción por variedad (&gt;2017)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'PIST-VAR-EDAD'!$A$3</c:f>
              <c:strCache>
                <c:ptCount val="1"/>
                <c:pt idx="0">
                  <c:v>PISTACHO: Secano</c:v>
                </c:pt>
              </c:strCache>
            </c:strRef>
          </c:tx>
          <c:spPr>
            <a:solidFill>
              <a:srgbClr val="D7AE8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EFB58EC-D119-44FA-9ED6-3DA64F88A15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E6D5B29-49C4-45EB-B402-91EC9F17BFB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A15CFAE-AC1D-4D88-96BE-F6B8F5389DD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CD4816E-B91F-45CA-BF26-36B074147FB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0BD1BDD-0FF5-4861-B167-AAF61DDEFE1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653C91CE-280A-4B06-9BDF-DF883CB9957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1BE1EE8A-9ED6-4EEA-8492-931CBAE8F01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3C79FFB2-22B0-4C99-A7BB-56AB467E3AF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A6CC730-1E0C-4D0E-AB58-83DC4BEA869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8663BE71-42CF-4B11-95E0-128CD53D0B8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FD3E4644-9E61-4795-B4D4-7D5343A7FD3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'PIST-VAR-EDAD'!$A$6:$A$16</c:f>
              <c:strCache>
                <c:ptCount val="11"/>
                <c:pt idx="0">
                  <c:v>KERMAN</c:v>
                </c:pt>
                <c:pt idx="1">
                  <c:v>SIRORA</c:v>
                </c:pt>
                <c:pt idx="2">
                  <c:v>AVDAT</c:v>
                </c:pt>
                <c:pt idx="3">
                  <c:v>LARNAKA</c:v>
                </c:pt>
                <c:pt idx="4">
                  <c:v>MATEUR</c:v>
                </c:pt>
                <c:pt idx="5">
                  <c:v>AEGINA</c:v>
                </c:pt>
                <c:pt idx="6">
                  <c:v>LOST HILLS</c:v>
                </c:pt>
                <c:pt idx="7">
                  <c:v>PETER</c:v>
                </c:pt>
                <c:pt idx="8">
                  <c:v>KASTEL</c:v>
                </c:pt>
                <c:pt idx="9">
                  <c:v>GOLDENS HILLS</c:v>
                </c:pt>
                <c:pt idx="10">
                  <c:v>ASKAR</c:v>
                </c:pt>
              </c:strCache>
            </c:strRef>
          </c:cat>
          <c:val>
            <c:numRef>
              <c:f>'PIST-VAR-EDAD'!$B$6:$B$16</c:f>
              <c:numCache>
                <c:formatCode>#,##0</c:formatCode>
                <c:ptCount val="11"/>
                <c:pt idx="0">
                  <c:v>7040.6099999999979</c:v>
                </c:pt>
                <c:pt idx="1">
                  <c:v>467.38999999999987</c:v>
                </c:pt>
                <c:pt idx="2">
                  <c:v>168.44000000000003</c:v>
                </c:pt>
                <c:pt idx="3">
                  <c:v>158.38999999999999</c:v>
                </c:pt>
                <c:pt idx="4">
                  <c:v>106.71</c:v>
                </c:pt>
                <c:pt idx="5">
                  <c:v>57.289999999999992</c:v>
                </c:pt>
                <c:pt idx="6">
                  <c:v>42.839999999999996</c:v>
                </c:pt>
                <c:pt idx="7">
                  <c:v>28.699999999999996</c:v>
                </c:pt>
                <c:pt idx="8">
                  <c:v>19.390000000000004</c:v>
                </c:pt>
                <c:pt idx="9">
                  <c:v>15.58</c:v>
                </c:pt>
                <c:pt idx="10">
                  <c:v>11.89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'PIST-VAR-EDAD'!$C$6:$C$16</c15:f>
                <c15:dlblRangeCache>
                  <c:ptCount val="11"/>
                  <c:pt idx="0">
                    <c:v>58%</c:v>
                  </c:pt>
                  <c:pt idx="1">
                    <c:v>4%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0%</c:v>
                  </c:pt>
                  <c:pt idx="6">
                    <c:v>0%</c:v>
                  </c:pt>
                  <c:pt idx="7">
                    <c:v>0%</c:v>
                  </c:pt>
                  <c:pt idx="8">
                    <c:v>0%</c:v>
                  </c:pt>
                  <c:pt idx="9">
                    <c:v>0%</c:v>
                  </c:pt>
                  <c:pt idx="10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1089070512"/>
        <c:axId val="1089083568"/>
      </c:barChart>
      <c:catAx>
        <c:axId val="108907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83568"/>
        <c:crosses val="autoZero"/>
        <c:auto val="1"/>
        <c:lblAlgn val="ctr"/>
        <c:lblOffset val="100"/>
        <c:noMultiLvlLbl val="0"/>
      </c:catAx>
      <c:valAx>
        <c:axId val="108908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7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PISTACHO: Secano</a:t>
            </a:r>
          </a:p>
          <a:p>
            <a:pPr>
              <a:defRPr/>
            </a:pPr>
            <a:r>
              <a:rPr lang="en-US"/>
              <a:t>Plantaciones jóvenes por variedad (2017-20)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'PIST-VAR-EDAD'!$A$3</c:f>
              <c:strCache>
                <c:ptCount val="1"/>
                <c:pt idx="0">
                  <c:v>PISTACHO: Secano</c:v>
                </c:pt>
              </c:strCache>
            </c:strRef>
          </c:tx>
          <c:spPr>
            <a:solidFill>
              <a:srgbClr val="996633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752CE6B-FDE9-46F9-A84F-8037AC91A92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AAE643E-DD0F-4993-ADB2-800D9C6B2B4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A783449-ECE1-4FBC-8991-DE78850FFBA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9CAF82A-4910-4707-8840-EB166D412D9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36E1075-968D-478E-99CC-7B9BC4C140B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905ED212-F6AC-4A7C-B3E4-2F0851A5936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EB87657-0AF2-4692-9F63-0DC90FA7078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812C8F56-5389-4B70-B033-18FF7DF2CBC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C56FB3FF-AC67-4D4E-8185-9AED0CD5521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A3B068EE-E18E-4A3A-B036-EF4D17B77A2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EC8E579-5527-4251-A48C-B10E2D693A0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'PIST-VAR-EDAD'!$D$6:$D$16</c:f>
              <c:strCache>
                <c:ptCount val="11"/>
                <c:pt idx="0">
                  <c:v>KERMAN</c:v>
                </c:pt>
                <c:pt idx="1">
                  <c:v>SIRORA</c:v>
                </c:pt>
                <c:pt idx="2">
                  <c:v>LARNAKA</c:v>
                </c:pt>
                <c:pt idx="3">
                  <c:v>LOST HILLS</c:v>
                </c:pt>
                <c:pt idx="4">
                  <c:v>AEGINA</c:v>
                </c:pt>
                <c:pt idx="5">
                  <c:v>AVDAT</c:v>
                </c:pt>
                <c:pt idx="6">
                  <c:v>PETER</c:v>
                </c:pt>
                <c:pt idx="7">
                  <c:v>KASTEL</c:v>
                </c:pt>
                <c:pt idx="8">
                  <c:v>MATEUR</c:v>
                </c:pt>
                <c:pt idx="9">
                  <c:v>GOLDENS HILLS</c:v>
                </c:pt>
                <c:pt idx="10">
                  <c:v>ASKAR</c:v>
                </c:pt>
              </c:strCache>
            </c:strRef>
          </c:cat>
          <c:val>
            <c:numRef>
              <c:f>'PIST-VAR-EDAD'!$E$6:$E$16</c:f>
              <c:numCache>
                <c:formatCode>#,##0</c:formatCode>
                <c:ptCount val="11"/>
                <c:pt idx="0">
                  <c:v>12103.760000000004</c:v>
                </c:pt>
                <c:pt idx="1">
                  <c:v>1457.6299999999997</c:v>
                </c:pt>
                <c:pt idx="2">
                  <c:v>531.69000000000005</c:v>
                </c:pt>
                <c:pt idx="3">
                  <c:v>192.27</c:v>
                </c:pt>
                <c:pt idx="4">
                  <c:v>192.13</c:v>
                </c:pt>
                <c:pt idx="5">
                  <c:v>117.67999999999999</c:v>
                </c:pt>
                <c:pt idx="6">
                  <c:v>76.379999999999981</c:v>
                </c:pt>
                <c:pt idx="7">
                  <c:v>67.94</c:v>
                </c:pt>
                <c:pt idx="8">
                  <c:v>39</c:v>
                </c:pt>
                <c:pt idx="9">
                  <c:v>24.24</c:v>
                </c:pt>
                <c:pt idx="10">
                  <c:v>21.299999999999997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'PIST-VAR-EDAD'!$F$6:$F$16</c15:f>
                <c15:dlblRangeCache>
                  <c:ptCount val="11"/>
                  <c:pt idx="0">
                    <c:v>50%</c:v>
                  </c:pt>
                  <c:pt idx="1">
                    <c:v>6%</c:v>
                  </c:pt>
                  <c:pt idx="2">
                    <c:v>2%</c:v>
                  </c:pt>
                  <c:pt idx="3">
                    <c:v>1%</c:v>
                  </c:pt>
                  <c:pt idx="4">
                    <c:v>1%</c:v>
                  </c:pt>
                  <c:pt idx="5">
                    <c:v>0%</c:v>
                  </c:pt>
                  <c:pt idx="6">
                    <c:v>0%</c:v>
                  </c:pt>
                  <c:pt idx="7">
                    <c:v>0%</c:v>
                  </c:pt>
                  <c:pt idx="8">
                    <c:v>0%</c:v>
                  </c:pt>
                  <c:pt idx="9">
                    <c:v>0%</c:v>
                  </c:pt>
                  <c:pt idx="10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1089071056"/>
        <c:axId val="1089063440"/>
      </c:barChart>
      <c:catAx>
        <c:axId val="108907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63440"/>
        <c:crosses val="autoZero"/>
        <c:auto val="1"/>
        <c:lblAlgn val="ctr"/>
        <c:lblOffset val="100"/>
        <c:noMultiLvlLbl val="0"/>
      </c:catAx>
      <c:valAx>
        <c:axId val="108906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7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PISTACHO: Regadío</a:t>
            </a:r>
          </a:p>
          <a:p>
            <a:pPr>
              <a:defRPr/>
            </a:pPr>
            <a:r>
              <a:rPr lang="en-US"/>
              <a:t>Plantaciones en producción por variedad (&gt;2018) </a:t>
            </a:r>
          </a:p>
        </c:rich>
      </c:tx>
      <c:layout>
        <c:manualLayout>
          <c:xMode val="edge"/>
          <c:yMode val="edge"/>
          <c:x val="0.21658571804738"/>
          <c:y val="2.2099447513812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'PIST-VAR-EDAD'!$A$21</c:f>
              <c:strCache>
                <c:ptCount val="1"/>
                <c:pt idx="0">
                  <c:v>PISTACHO: Regadío</c:v>
                </c:pt>
              </c:strCache>
            </c:strRef>
          </c:tx>
          <c:spPr>
            <a:solidFill>
              <a:srgbClr val="88F682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3DDF160-A3C6-40B5-B38B-BBD775FD58E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9530D5EC-9B5D-4C70-AE82-F068EBA1FC9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DCFE31D-397A-46D1-8E4A-74BECC57378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779B1C5-E052-4BBB-85F9-8D35E91287E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12777943-C567-41FE-9107-02EA2A40206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F643C64-9DB9-4624-AA97-98857871066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F67F1397-7687-40AE-9590-23A8424AC31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'PIST-VAR-EDAD'!$A$24:$A$34</c15:sqref>
                  </c15:fullRef>
                </c:ext>
              </c:extLst>
              <c:f>'PIST-VAR-EDAD'!$A$24:$A$30</c:f>
              <c:strCache>
                <c:ptCount val="7"/>
                <c:pt idx="0">
                  <c:v>KERMAN</c:v>
                </c:pt>
                <c:pt idx="1">
                  <c:v>SIRORA</c:v>
                </c:pt>
                <c:pt idx="2">
                  <c:v>LOST HILLS</c:v>
                </c:pt>
                <c:pt idx="3">
                  <c:v>LARNAKA</c:v>
                </c:pt>
                <c:pt idx="4">
                  <c:v>GOLDENS HILLS</c:v>
                </c:pt>
                <c:pt idx="5">
                  <c:v>MATEUR</c:v>
                </c:pt>
                <c:pt idx="6">
                  <c:v>AEGINA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'PIST-VAR-EDAD'!$B$24:$B$34</c15:sqref>
                  </c15:fullRef>
                </c:ext>
              </c:extLst>
              <c:f>'PIST-VAR-EDAD'!$B$24:$B$30</c:f>
              <c:numCache>
                <c:formatCode>#,##0</c:formatCode>
                <c:ptCount val="7"/>
                <c:pt idx="0">
                  <c:v>3228.440000000001</c:v>
                </c:pt>
                <c:pt idx="1">
                  <c:v>177.86999999999998</c:v>
                </c:pt>
                <c:pt idx="2">
                  <c:v>123.30000000000001</c:v>
                </c:pt>
                <c:pt idx="3">
                  <c:v>58</c:v>
                </c:pt>
                <c:pt idx="4">
                  <c:v>55.79</c:v>
                </c:pt>
                <c:pt idx="5">
                  <c:v>47.56</c:v>
                </c:pt>
                <c:pt idx="6">
                  <c:v>39.330000000000005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'PIST-VAR-EDAD'!$C$24:$C$34</c15:f>
                <c15:dlblRangeCache>
                  <c:ptCount val="11"/>
                  <c:pt idx="0">
                    <c:v>59%</c:v>
                  </c:pt>
                  <c:pt idx="1">
                    <c:v>3%</c:v>
                  </c:pt>
                  <c:pt idx="2">
                    <c:v>2%</c:v>
                  </c:pt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1%</c:v>
                  </c:pt>
                  <c:pt idx="7">
                    <c:v>0%</c:v>
                  </c:pt>
                  <c:pt idx="8">
                    <c:v>0%</c:v>
                  </c:pt>
                  <c:pt idx="9">
                    <c:v>0%</c:v>
                  </c:pt>
                  <c:pt idx="10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1089084112"/>
        <c:axId val="1089088464"/>
      </c:barChart>
      <c:catAx>
        <c:axId val="108908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88464"/>
        <c:crosses val="autoZero"/>
        <c:auto val="1"/>
        <c:lblAlgn val="ctr"/>
        <c:lblOffset val="100"/>
        <c:noMultiLvlLbl val="0"/>
      </c:catAx>
      <c:valAx>
        <c:axId val="108908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8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PISTACHO: Regadío</a:t>
            </a:r>
          </a:p>
          <a:p>
            <a:pPr>
              <a:defRPr/>
            </a:pPr>
            <a:r>
              <a:rPr lang="en-US"/>
              <a:t>Plantaciones jovénes por variedad (2018-20)</a:t>
            </a:r>
          </a:p>
        </c:rich>
      </c:tx>
      <c:layout>
        <c:manualLayout>
          <c:xMode val="edge"/>
          <c:yMode val="edge"/>
          <c:x val="0.25003771906905103"/>
          <c:y val="2.2222222222222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'PIST-VAR-EDAD'!$A$21</c:f>
              <c:strCache>
                <c:ptCount val="1"/>
                <c:pt idx="0">
                  <c:v>PISTACHO: Regadío</c:v>
                </c:pt>
              </c:strCache>
            </c:strRef>
          </c:tx>
          <c:spPr>
            <a:solidFill>
              <a:srgbClr val="15B70D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D362CC6-1AFA-4247-8B59-72668B1B453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A3E3E87-C44B-40D4-8298-E1750221526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6FF5BE4-E84B-4CB0-BF13-A59609EC120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C352ED1-0D9C-4D8E-8EBD-0AA000FD178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89EF56E-9AB8-43D0-9532-CA3745128F3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0EE35256-50A8-4336-9E99-4E6F977176D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29B14C4-C870-47A7-86D0-00629B36582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A3E2AD15-93D1-49A1-A636-0B9E7D7498D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CB24A89-2672-4030-8E62-8DE84653247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464148D-A9BB-4073-8F10-279248772BF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0D0A4571-6E45-4E80-BFA2-97A8DCB6C1C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'PIST-VAR-EDAD'!$D$24:$D$34</c:f>
              <c:strCache>
                <c:ptCount val="11"/>
                <c:pt idx="0">
                  <c:v>KERMAN</c:v>
                </c:pt>
                <c:pt idx="1">
                  <c:v>SIRORA</c:v>
                </c:pt>
                <c:pt idx="2">
                  <c:v>LOST HILLS</c:v>
                </c:pt>
                <c:pt idx="3">
                  <c:v>LARNAKA</c:v>
                </c:pt>
                <c:pt idx="4">
                  <c:v>GOLDENS HILLS</c:v>
                </c:pt>
                <c:pt idx="5">
                  <c:v>AEGINA</c:v>
                </c:pt>
                <c:pt idx="6">
                  <c:v>PETER</c:v>
                </c:pt>
                <c:pt idx="7">
                  <c:v>ASKAR</c:v>
                </c:pt>
                <c:pt idx="8">
                  <c:v>AVDAT</c:v>
                </c:pt>
                <c:pt idx="9">
                  <c:v>MATEUR</c:v>
                </c:pt>
                <c:pt idx="10">
                  <c:v>KASTEL</c:v>
                </c:pt>
              </c:strCache>
            </c:strRef>
          </c:cat>
          <c:val>
            <c:numRef>
              <c:f>'PIST-VAR-EDAD'!$E$24:$E$34</c:f>
              <c:numCache>
                <c:formatCode>#,##0</c:formatCode>
                <c:ptCount val="11"/>
                <c:pt idx="0">
                  <c:v>2779.9400000000005</c:v>
                </c:pt>
                <c:pt idx="1">
                  <c:v>772.53000000000009</c:v>
                </c:pt>
                <c:pt idx="2">
                  <c:v>372.92999999999995</c:v>
                </c:pt>
                <c:pt idx="3">
                  <c:v>100.69</c:v>
                </c:pt>
                <c:pt idx="4">
                  <c:v>78.84</c:v>
                </c:pt>
                <c:pt idx="5">
                  <c:v>37.129999999999995</c:v>
                </c:pt>
                <c:pt idx="6">
                  <c:v>36.120000000000005</c:v>
                </c:pt>
                <c:pt idx="7">
                  <c:v>9.379999999999999</c:v>
                </c:pt>
                <c:pt idx="8">
                  <c:v>5.46</c:v>
                </c:pt>
                <c:pt idx="9">
                  <c:v>4.49</c:v>
                </c:pt>
                <c:pt idx="10">
                  <c:v>0.41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'PIST-VAR-EDAD'!$F$24:$F$34</c15:f>
                <c15:dlblRangeCache>
                  <c:ptCount val="11"/>
                  <c:pt idx="0">
                    <c:v>45%</c:v>
                  </c:pt>
                  <c:pt idx="1">
                    <c:v>12%</c:v>
                  </c:pt>
                  <c:pt idx="2">
                    <c:v>6%</c:v>
                  </c:pt>
                  <c:pt idx="3">
                    <c:v>2%</c:v>
                  </c:pt>
                  <c:pt idx="4">
                    <c:v>1%</c:v>
                  </c:pt>
                  <c:pt idx="5">
                    <c:v>1%</c:v>
                  </c:pt>
                  <c:pt idx="6">
                    <c:v>1%</c:v>
                  </c:pt>
                  <c:pt idx="7">
                    <c:v>0%</c:v>
                  </c:pt>
                  <c:pt idx="8">
                    <c:v>0%</c:v>
                  </c:pt>
                  <c:pt idx="9">
                    <c:v>0%</c:v>
                  </c:pt>
                  <c:pt idx="10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1089067248"/>
        <c:axId val="1089080304"/>
      </c:barChart>
      <c:catAx>
        <c:axId val="108906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80304"/>
        <c:crosses val="autoZero"/>
        <c:auto val="1"/>
        <c:lblAlgn val="ctr"/>
        <c:lblOffset val="100"/>
        <c:noMultiLvlLbl val="0"/>
      </c:catAx>
      <c:valAx>
        <c:axId val="108908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6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Frutos Secos: Distribución Autonómica</a:t>
            </a:r>
            <a:r>
              <a:rPr lang="en-US"/>
              <a:t>. </a:t>
            </a:r>
          </a:p>
          <a:p>
            <a:pPr>
              <a:defRPr/>
            </a:pPr>
            <a:r>
              <a:rPr lang="en-US"/>
              <a:t>Superficies Anuales 2020 vs RSU REGEPA 2020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'Frutos secos TOTAL'!$N$33</c:f>
              <c:strCache>
                <c:ptCount val="1"/>
                <c:pt idx="0">
                  <c:v>RSU-REGEPA 2020</c:v>
                </c:pt>
              </c:strCache>
            </c:strRef>
          </c:tx>
          <c:spPr>
            <a:solidFill>
              <a:srgbClr val="CB976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'Frutos secos TOTAL'!$M$34:$M$50</c15:sqref>
                  </c15:fullRef>
                </c:ext>
              </c:extLst>
              <c:f>('Frutos secos TOTAL'!$M$34:$M$48,'Frutos secos TOTAL'!$M$50)</c:f>
              <c:strCache>
                <c:ptCount val="16"/>
                <c:pt idx="0">
                  <c:v>ANDALUCÍA</c:v>
                </c:pt>
                <c:pt idx="1">
                  <c:v>C.-LA MANCHA</c:v>
                </c:pt>
                <c:pt idx="2">
                  <c:v>C. VALENCIANA</c:v>
                </c:pt>
                <c:pt idx="3">
                  <c:v>ARAGÓN</c:v>
                </c:pt>
                <c:pt idx="4">
                  <c:v>MURCIA</c:v>
                </c:pt>
                <c:pt idx="5">
                  <c:v>CATALUÑA</c:v>
                </c:pt>
                <c:pt idx="6">
                  <c:v>GALICIA</c:v>
                </c:pt>
                <c:pt idx="7">
                  <c:v>ISLAS BALEARES</c:v>
                </c:pt>
                <c:pt idx="8">
                  <c:v>EXTREMADURA</c:v>
                </c:pt>
                <c:pt idx="9">
                  <c:v>ASTURIAS</c:v>
                </c:pt>
                <c:pt idx="10">
                  <c:v>LA RIOJA</c:v>
                </c:pt>
                <c:pt idx="11">
                  <c:v>C. y LEÓN</c:v>
                </c:pt>
                <c:pt idx="12">
                  <c:v>NAVARRA</c:v>
                </c:pt>
                <c:pt idx="13">
                  <c:v>MADRID</c:v>
                </c:pt>
                <c:pt idx="14">
                  <c:v>PAIS VASCO</c:v>
                </c:pt>
                <c:pt idx="15">
                  <c:v>CANTABRIA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'Frutos secos TOTAL'!$N$34:$N$50</c15:sqref>
                  </c15:fullRef>
                </c:ext>
              </c:extLst>
              <c:f>('Frutos secos TOTAL'!$N$34:$N$48,'Frutos secos TOTAL'!$N$50)</c:f>
              <c:numCache>
                <c:formatCode>#,##0</c:formatCode>
                <c:ptCount val="16"/>
                <c:pt idx="0">
                  <c:v>182668.93</c:v>
                </c:pt>
                <c:pt idx="1">
                  <c:v>183197.47999999995</c:v>
                </c:pt>
                <c:pt idx="2">
                  <c:v>63620.259999999973</c:v>
                </c:pt>
                <c:pt idx="3">
                  <c:v>80742.279999999955</c:v>
                </c:pt>
                <c:pt idx="4">
                  <c:v>81142.219999999972</c:v>
                </c:pt>
                <c:pt idx="5">
                  <c:v>51017.679999999986</c:v>
                </c:pt>
                <c:pt idx="6">
                  <c:v>5488.37</c:v>
                </c:pt>
                <c:pt idx="7">
                  <c:v>12962.000000000002</c:v>
                </c:pt>
                <c:pt idx="8">
                  <c:v>23914.320000000003</c:v>
                </c:pt>
                <c:pt idx="9">
                  <c:v>8357.6199999999953</c:v>
                </c:pt>
                <c:pt idx="10">
                  <c:v>6510.8200000000006</c:v>
                </c:pt>
                <c:pt idx="11">
                  <c:v>6797.9399999999987</c:v>
                </c:pt>
                <c:pt idx="12">
                  <c:v>3466.6399999999981</c:v>
                </c:pt>
                <c:pt idx="13">
                  <c:v>755.63</c:v>
                </c:pt>
                <c:pt idx="14">
                  <c:v>209.6</c:v>
                </c:pt>
                <c:pt idx="15">
                  <c:v>25.440000000000005</c:v>
                </c:pt>
              </c:numCache>
            </c:numRef>
          </c:val>
        </c:ser>
        <c:ser>
          <c:idx val="1"/>
          <c:order val="1"/>
          <c:tx>
            <c:strRef>
              <c:f>'Frutos secos TOTAL'!$O$33</c:f>
              <c:strCache>
                <c:ptCount val="1"/>
                <c:pt idx="0">
                  <c:v>Superficies Anuales 2020</c:v>
                </c:pt>
              </c:strCache>
            </c:strRef>
          </c:tx>
          <c:spPr>
            <a:solidFill>
              <a:srgbClr val="6633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5600FDB-F3CD-47FB-9B65-9F99BD8EB5B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D42AF98-06B7-441E-B567-AF7E64300FCE}" type="CELLRANGE">
                      <a:rPr lang="es-ES"/>
                      <a:pPr>
                        <a:defRPr sz="1100" b="1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5916B82-AE3D-4F74-BBD9-8D559EAB08D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s-ES" sz="1100" b="1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025548-7963-4C37-B608-068DF7E72A9E}" type="CELLRANGE">
                      <a:rPr lang="es-ES"/>
                      <a:pPr algn="ctr">
                        <a:defRPr lang="es-ES" sz="1100" b="1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11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s-ES" sz="1100" b="1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132EEA0-93BA-477B-8CB2-D43F3AA5DE6E}" type="CELLRANGE">
                      <a:rPr lang="es-ES"/>
                      <a:pPr algn="ctr">
                        <a:defRPr lang="es-ES" sz="1100" b="1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11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s-ES" sz="1100" b="1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8BC2583-C7FE-4008-88D5-898C30DCC0C3}" type="CELLRANGE">
                      <a:rPr lang="es-ES"/>
                      <a:pPr algn="ctr">
                        <a:defRPr lang="es-ES" sz="1100" b="1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11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AD984267-136A-4681-BE6B-9B12F777F78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48923D9-8574-41BD-A662-7CFBF171B50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s-ES" sz="1100" b="1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0592448-CB6C-4882-A4C1-D3442856A0DC}" type="CELLRANGE">
                      <a:rPr lang="es-ES"/>
                      <a:pPr algn="ctr">
                        <a:defRPr lang="es-ES" sz="1100" b="1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11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E900FFC9-C5FF-4906-8547-87746AABF7D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396776B6-05B8-4140-A9CC-1F5D042C1FC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s-ES" sz="1100" b="1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5CC2A6C-D4AC-4233-AE1C-611DEA92A79A}" type="CELLRANGE">
                      <a:rPr lang="es-ES"/>
                      <a:pPr algn="ctr">
                        <a:defRPr lang="es-ES" sz="1100" b="1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11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CB0AB0C-A6AF-4C5D-97F9-3D55CC48C54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74542448-D504-4D1D-8CBD-EC272478D30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30297809-663B-42BB-BA7F-325E0189D0A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s-ES" sz="1100" b="1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A28ADD-A22A-400F-8668-EBE0ACC771CD}" type="CELLRANGE">
                      <a:rPr lang="es-ES"/>
                      <a:pPr algn="ctr">
                        <a:defRPr lang="es-ES" sz="1100" b="1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11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'Frutos secos TOTAL'!$M$34:$M$50</c15:sqref>
                  </c15:fullRef>
                </c:ext>
              </c:extLst>
              <c:f>('Frutos secos TOTAL'!$M$34:$M$48,'Frutos secos TOTAL'!$M$50)</c:f>
              <c:strCache>
                <c:ptCount val="16"/>
                <c:pt idx="0">
                  <c:v>ANDALUCÍA</c:v>
                </c:pt>
                <c:pt idx="1">
                  <c:v>C.-LA MANCHA</c:v>
                </c:pt>
                <c:pt idx="2">
                  <c:v>C. VALENCIANA</c:v>
                </c:pt>
                <c:pt idx="3">
                  <c:v>ARAGÓN</c:v>
                </c:pt>
                <c:pt idx="4">
                  <c:v>MURCIA</c:v>
                </c:pt>
                <c:pt idx="5">
                  <c:v>CATALUÑA</c:v>
                </c:pt>
                <c:pt idx="6">
                  <c:v>GALICIA</c:v>
                </c:pt>
                <c:pt idx="7">
                  <c:v>ISLAS BALEARES</c:v>
                </c:pt>
                <c:pt idx="8">
                  <c:v>EXTREMADURA</c:v>
                </c:pt>
                <c:pt idx="9">
                  <c:v>ASTURIAS</c:v>
                </c:pt>
                <c:pt idx="10">
                  <c:v>LA RIOJA</c:v>
                </c:pt>
                <c:pt idx="11">
                  <c:v>C. y LEÓN</c:v>
                </c:pt>
                <c:pt idx="12">
                  <c:v>NAVARRA</c:v>
                </c:pt>
                <c:pt idx="13">
                  <c:v>MADRID</c:v>
                </c:pt>
                <c:pt idx="14">
                  <c:v>PAIS VASCO</c:v>
                </c:pt>
                <c:pt idx="15">
                  <c:v>CANTABRIA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'Frutos secos TOTAL'!$O$34:$O$50</c15:sqref>
                  </c15:fullRef>
                </c:ext>
              </c:extLst>
              <c:f>('Frutos secos TOTAL'!$O$34:$O$48,'Frutos secos TOTAL'!$O$50)</c:f>
              <c:numCache>
                <c:formatCode>#,##0</c:formatCode>
                <c:ptCount val="16"/>
                <c:pt idx="0">
                  <c:v>253241.8376</c:v>
                </c:pt>
                <c:pt idx="1">
                  <c:v>182460.9927</c:v>
                </c:pt>
                <c:pt idx="2">
                  <c:v>101098.0848</c:v>
                </c:pt>
                <c:pt idx="3">
                  <c:v>86787</c:v>
                </c:pt>
                <c:pt idx="4">
                  <c:v>84391.839899999992</c:v>
                </c:pt>
                <c:pt idx="5">
                  <c:v>61904.315900000001</c:v>
                </c:pt>
                <c:pt idx="6">
                  <c:v>51557.056199999999</c:v>
                </c:pt>
                <c:pt idx="7">
                  <c:v>38659.393100000001</c:v>
                </c:pt>
                <c:pt idx="8">
                  <c:v>24045</c:v>
                </c:pt>
                <c:pt idx="9">
                  <c:v>14956.9285</c:v>
                </c:pt>
                <c:pt idx="10">
                  <c:v>11022</c:v>
                </c:pt>
                <c:pt idx="11">
                  <c:v>8449</c:v>
                </c:pt>
                <c:pt idx="12">
                  <c:v>5055</c:v>
                </c:pt>
                <c:pt idx="13">
                  <c:v>2702</c:v>
                </c:pt>
                <c:pt idx="14">
                  <c:v>521</c:v>
                </c:pt>
                <c:pt idx="15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'Frutos secos TOTAL'!$P$34:$P$50</c15:f>
                <c15:dlblRangeCache>
                  <c:ptCount val="17"/>
                  <c:pt idx="0">
                    <c:v>72%</c:v>
                  </c:pt>
                  <c:pt idx="1">
                    <c:v>100%</c:v>
                  </c:pt>
                  <c:pt idx="2">
                    <c:v>63%</c:v>
                  </c:pt>
                  <c:pt idx="3">
                    <c:v>93%</c:v>
                  </c:pt>
                  <c:pt idx="4">
                    <c:v>96%</c:v>
                  </c:pt>
                  <c:pt idx="5">
                    <c:v>82%</c:v>
                  </c:pt>
                  <c:pt idx="6">
                    <c:v>11%</c:v>
                  </c:pt>
                  <c:pt idx="7">
                    <c:v>34%</c:v>
                  </c:pt>
                  <c:pt idx="8">
                    <c:v>99%</c:v>
                  </c:pt>
                  <c:pt idx="9">
                    <c:v>56%</c:v>
                  </c:pt>
                  <c:pt idx="10">
                    <c:v>59%</c:v>
                  </c:pt>
                  <c:pt idx="11">
                    <c:v>80%</c:v>
                  </c:pt>
                  <c:pt idx="12">
                    <c:v>69%</c:v>
                  </c:pt>
                  <c:pt idx="13">
                    <c:v>28%</c:v>
                  </c:pt>
                  <c:pt idx="14">
                    <c:v>40%</c:v>
                  </c:pt>
                  <c:pt idx="15">
                    <c:v>0%</c:v>
                  </c:pt>
                  <c:pt idx="16">
                    <c:v>75%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8657040"/>
        <c:axId val="728654864"/>
      </c:barChart>
      <c:catAx>
        <c:axId val="72865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8654864"/>
        <c:crosses val="autoZero"/>
        <c:auto val="1"/>
        <c:lblAlgn val="ctr"/>
        <c:lblOffset val="100"/>
        <c:noMultiLvlLbl val="0"/>
      </c:catAx>
      <c:valAx>
        <c:axId val="72865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865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Frutos Secos de</a:t>
            </a:r>
            <a:r>
              <a:rPr lang="en-US" b="1" baseline="0"/>
              <a:t> Secano</a:t>
            </a:r>
            <a:r>
              <a:rPr lang="en-US" b="1"/>
              <a:t>: Distribución Autonómica</a:t>
            </a:r>
            <a:r>
              <a:rPr lang="en-US"/>
              <a:t>. </a:t>
            </a:r>
          </a:p>
          <a:p>
            <a:pPr>
              <a:defRPr/>
            </a:pPr>
            <a:r>
              <a:rPr lang="en-US"/>
              <a:t>Superficies Anuales 2020 vs RSU REGEPA 2020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'Frutos secos TOTAL'!$N$119</c:f>
              <c:strCache>
                <c:ptCount val="1"/>
                <c:pt idx="0">
                  <c:v>RSU-REGEPA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'Frutos secos TOTAL'!$M$120:$M$136</c:f>
              <c:strCache>
                <c:ptCount val="17"/>
                <c:pt idx="0">
                  <c:v>ANDALUCÍA</c:v>
                </c:pt>
                <c:pt idx="1">
                  <c:v>C.-LA MANCHA</c:v>
                </c:pt>
                <c:pt idx="2">
                  <c:v>C. VALENCIANA</c:v>
                </c:pt>
                <c:pt idx="3">
                  <c:v>MURCIA</c:v>
                </c:pt>
                <c:pt idx="4">
                  <c:v>ARAGÓN</c:v>
                </c:pt>
                <c:pt idx="5">
                  <c:v>CATALUÑA</c:v>
                </c:pt>
                <c:pt idx="6">
                  <c:v>ISLAS BALEARES</c:v>
                </c:pt>
                <c:pt idx="7">
                  <c:v>GALICIA</c:v>
                </c:pt>
                <c:pt idx="8">
                  <c:v>EXTREMADURA</c:v>
                </c:pt>
                <c:pt idx="9">
                  <c:v>LA RIOJA</c:v>
                </c:pt>
                <c:pt idx="10">
                  <c:v>C. y LEÓN</c:v>
                </c:pt>
                <c:pt idx="11">
                  <c:v>NAVARRA</c:v>
                </c:pt>
                <c:pt idx="12">
                  <c:v>MADRID</c:v>
                </c:pt>
                <c:pt idx="13">
                  <c:v>PAIS VASCO</c:v>
                </c:pt>
                <c:pt idx="14">
                  <c:v>ISLAS CANARIAS</c:v>
                </c:pt>
                <c:pt idx="15">
                  <c:v>CANTABRIA</c:v>
                </c:pt>
                <c:pt idx="16">
                  <c:v>ASTURIAS</c:v>
                </c:pt>
              </c:strCache>
            </c:strRef>
          </c:cat>
          <c:val>
            <c:numRef>
              <c:f>'Frutos secos TOTAL'!$N$120:$N$136</c:f>
              <c:numCache>
                <c:formatCode>#,##0</c:formatCode>
                <c:ptCount val="17"/>
                <c:pt idx="0">
                  <c:v>151568.20999999985</c:v>
                </c:pt>
                <c:pt idx="1">
                  <c:v>153818.19999999995</c:v>
                </c:pt>
                <c:pt idx="2">
                  <c:v>61599.329999999973</c:v>
                </c:pt>
                <c:pt idx="3">
                  <c:v>73872.409999999974</c:v>
                </c:pt>
                <c:pt idx="4">
                  <c:v>60350.069999999956</c:v>
                </c:pt>
                <c:pt idx="5">
                  <c:v>31142.319999999985</c:v>
                </c:pt>
                <c:pt idx="6">
                  <c:v>12335.300000000001</c:v>
                </c:pt>
                <c:pt idx="7">
                  <c:v>2433.31</c:v>
                </c:pt>
                <c:pt idx="8">
                  <c:v>11015.230000000003</c:v>
                </c:pt>
                <c:pt idx="9">
                  <c:v>5549.6100000000006</c:v>
                </c:pt>
                <c:pt idx="10">
                  <c:v>4929.7699999999995</c:v>
                </c:pt>
                <c:pt idx="11">
                  <c:v>1535.2299999999991</c:v>
                </c:pt>
                <c:pt idx="12">
                  <c:v>570.11</c:v>
                </c:pt>
                <c:pt idx="13">
                  <c:v>112.63</c:v>
                </c:pt>
                <c:pt idx="14">
                  <c:v>0</c:v>
                </c:pt>
                <c:pt idx="15">
                  <c:v>12.98</c:v>
                </c:pt>
                <c:pt idx="16">
                  <c:v>26.32</c:v>
                </c:pt>
              </c:numCache>
            </c:numRef>
          </c:val>
        </c:ser>
        <c:ser>
          <c:idx val="1"/>
          <c:order val="1"/>
          <c:tx>
            <c:strRef>
              <c:f>'Frutos secos TOTAL'!$O$119</c:f>
              <c:strCache>
                <c:ptCount val="1"/>
                <c:pt idx="0">
                  <c:v>Superficies Anuales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'Frutos secos TOTAL'!$M$120:$M$136</c:f>
              <c:strCache>
                <c:ptCount val="17"/>
                <c:pt idx="0">
                  <c:v>ANDALUCÍA</c:v>
                </c:pt>
                <c:pt idx="1">
                  <c:v>C.-LA MANCHA</c:v>
                </c:pt>
                <c:pt idx="2">
                  <c:v>C. VALENCIANA</c:v>
                </c:pt>
                <c:pt idx="3">
                  <c:v>MURCIA</c:v>
                </c:pt>
                <c:pt idx="4">
                  <c:v>ARAGÓN</c:v>
                </c:pt>
                <c:pt idx="5">
                  <c:v>CATALUÑA</c:v>
                </c:pt>
                <c:pt idx="6">
                  <c:v>ISLAS BALEARES</c:v>
                </c:pt>
                <c:pt idx="7">
                  <c:v>GALICIA</c:v>
                </c:pt>
                <c:pt idx="8">
                  <c:v>EXTREMADURA</c:v>
                </c:pt>
                <c:pt idx="9">
                  <c:v>LA RIOJA</c:v>
                </c:pt>
                <c:pt idx="10">
                  <c:v>C. y LEÓN</c:v>
                </c:pt>
                <c:pt idx="11">
                  <c:v>NAVARRA</c:v>
                </c:pt>
                <c:pt idx="12">
                  <c:v>MADRID</c:v>
                </c:pt>
                <c:pt idx="13">
                  <c:v>PAIS VASCO</c:v>
                </c:pt>
                <c:pt idx="14">
                  <c:v>ISLAS CANARIAS</c:v>
                </c:pt>
                <c:pt idx="15">
                  <c:v>CANTABRIA</c:v>
                </c:pt>
                <c:pt idx="16">
                  <c:v>ASTURIAS</c:v>
                </c:pt>
              </c:strCache>
            </c:strRef>
          </c:cat>
          <c:val>
            <c:numRef>
              <c:f>'Frutos secos TOTAL'!$O$120:$O$136</c:f>
              <c:numCache>
                <c:formatCode>#,##0</c:formatCode>
                <c:ptCount val="17"/>
                <c:pt idx="0">
                  <c:v>211670.4498</c:v>
                </c:pt>
                <c:pt idx="1">
                  <c:v>147697.9927</c:v>
                </c:pt>
                <c:pt idx="2">
                  <c:v>97007.753100000002</c:v>
                </c:pt>
                <c:pt idx="3">
                  <c:v>76497.906799999997</c:v>
                </c:pt>
                <c:pt idx="4">
                  <c:v>65089</c:v>
                </c:pt>
                <c:pt idx="5">
                  <c:v>40252.7255</c:v>
                </c:pt>
                <c:pt idx="6">
                  <c:v>38217.336900000002</c:v>
                </c:pt>
                <c:pt idx="7">
                  <c:v>25563</c:v>
                </c:pt>
                <c:pt idx="8">
                  <c:v>10846</c:v>
                </c:pt>
                <c:pt idx="9">
                  <c:v>9408</c:v>
                </c:pt>
                <c:pt idx="10">
                  <c:v>3755</c:v>
                </c:pt>
                <c:pt idx="11">
                  <c:v>2485</c:v>
                </c:pt>
                <c:pt idx="12">
                  <c:v>1230</c:v>
                </c:pt>
                <c:pt idx="13">
                  <c:v>365</c:v>
                </c:pt>
                <c:pt idx="14">
                  <c:v>216</c:v>
                </c:pt>
                <c:pt idx="15">
                  <c:v>17</c:v>
                </c:pt>
                <c:pt idx="16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7821744"/>
        <c:axId val="975476608"/>
      </c:barChart>
      <c:catAx>
        <c:axId val="72782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6608"/>
        <c:crosses val="autoZero"/>
        <c:auto val="1"/>
        <c:lblAlgn val="ctr"/>
        <c:lblOffset val="100"/>
        <c:noMultiLvlLbl val="0"/>
      </c:catAx>
      <c:valAx>
        <c:axId val="97547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782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Distribución de la Superficie</a:t>
            </a:r>
            <a:r>
              <a:rPr lang="es-ES" baseline="0"/>
              <a:t> </a:t>
            </a:r>
            <a:r>
              <a:rPr lang="es-ES" b="1" baseline="0"/>
              <a:t>Total de Frutos Secos </a:t>
            </a:r>
            <a:r>
              <a:rPr lang="es-ES" baseline="0"/>
              <a:t>en Superficies Anuales</a:t>
            </a:r>
            <a:r>
              <a:rPr lang="es-ES"/>
              <a:t>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1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'Frutos secos TOTAL'!$AA$5</c:f>
              <c:strCache>
                <c:ptCount val="1"/>
                <c:pt idx="0">
                  <c:v>SUPERFICIES ANUALES 2020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0.17968915447260206"/>
                  <c:y val="1.06816725612730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'Frutos secos TOTAL'!$Y$6:$Y$11</c:f>
              <c:strCache>
                <c:ptCount val="6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  <c:pt idx="4">
                  <c:v>Castaño</c:v>
                </c:pt>
                <c:pt idx="5">
                  <c:v>Nogal</c:v>
                </c:pt>
              </c:strCache>
            </c:strRef>
          </c:cat>
          <c:val>
            <c:numRef>
              <c:f>'Frutos secos TOTAL'!$AA$6:$AA$11</c:f>
              <c:numCache>
                <c:formatCode>#,##0</c:formatCode>
                <c:ptCount val="6"/>
                <c:pt idx="0">
                  <c:v>718540</c:v>
                </c:pt>
                <c:pt idx="1">
                  <c:v>49534</c:v>
                </c:pt>
                <c:pt idx="2">
                  <c:v>13067</c:v>
                </c:pt>
                <c:pt idx="3">
                  <c:v>42539.060800000014</c:v>
                </c:pt>
                <c:pt idx="4">
                  <c:v>37779</c:v>
                </c:pt>
                <c:pt idx="5">
                  <c:v>12290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Almendro Secano: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RSU REGEPA  vs SUPERFICIES ANUALES (2020)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'ALM-REPR'!$O$6</c:f>
              <c:strCache>
                <c:ptCount val="1"/>
                <c:pt idx="0">
                  <c:v>SUP.ANUALES 2020</c:v>
                </c:pt>
              </c:strCache>
            </c:strRef>
          </c:tx>
          <c:spPr>
            <a:solidFill>
              <a:srgbClr val="E7CFB7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'ALM-REPR'!$M$7:$M$12</c:f>
              <c:strCache>
                <c:ptCount val="6"/>
                <c:pt idx="0">
                  <c:v>ANDALUCÍA</c:v>
                </c:pt>
                <c:pt idx="1">
                  <c:v>C_ LA MANCHA</c:v>
                </c:pt>
                <c:pt idx="2">
                  <c:v>MURCIA</c:v>
                </c:pt>
                <c:pt idx="3">
                  <c:v>ARAGÓN</c:v>
                </c:pt>
                <c:pt idx="4">
                  <c:v>C. VALENCIANA</c:v>
                </c:pt>
                <c:pt idx="5">
                  <c:v>CATALUÑA</c:v>
                </c:pt>
              </c:strCache>
            </c:strRef>
          </c:cat>
          <c:val>
            <c:numRef>
              <c:f>'ALM-REPR'!$O$7:$O$12</c:f>
              <c:numCache>
                <c:formatCode>#,##0</c:formatCode>
                <c:ptCount val="6"/>
                <c:pt idx="0">
                  <c:v>195215</c:v>
                </c:pt>
                <c:pt idx="1">
                  <c:v>117640</c:v>
                </c:pt>
                <c:pt idx="2">
                  <c:v>74126</c:v>
                </c:pt>
                <c:pt idx="3">
                  <c:v>63569</c:v>
                </c:pt>
                <c:pt idx="4">
                  <c:v>78761</c:v>
                </c:pt>
                <c:pt idx="5">
                  <c:v>28393</c:v>
                </c:pt>
              </c:numCache>
            </c:numRef>
          </c:val>
        </c:ser>
        <c:ser>
          <c:idx val="0"/>
          <c:order val="1"/>
          <c:tx>
            <c:strRef>
              <c:f>'ALM-REPR'!$N$6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DB39A33-7CE4-4069-8B1B-AE441AAE601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s-ES" sz="11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401F909-00EE-4A7D-AF88-ECB619BC8305}" type="CELLRANGE">
                      <a:rPr lang="es-ES"/>
                      <a:pPr algn="ctr">
                        <a:defRPr lang="es-ES" sz="1100" b="1"/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s-ES" sz="11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85F4C11-D44F-4F1D-AD50-98C56EC0291F}" type="CELLRANGE">
                      <a:rPr lang="es-ES"/>
                      <a:pPr algn="ctr">
                        <a:defRPr lang="es-ES" sz="1100" b="1"/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CF89538-E6C3-42A1-9B8F-6CCF1B559B2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59F2935-6777-4B10-ADB7-E7E3E5B4F67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0EECD9FA-DB9E-4DCA-97F2-5923CC79321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'ALM-REPR'!$M$7:$M$12</c:f>
              <c:strCache>
                <c:ptCount val="6"/>
                <c:pt idx="0">
                  <c:v>ANDALUCÍA</c:v>
                </c:pt>
                <c:pt idx="1">
                  <c:v>C_ LA MANCHA</c:v>
                </c:pt>
                <c:pt idx="2">
                  <c:v>MURCIA</c:v>
                </c:pt>
                <c:pt idx="3">
                  <c:v>ARAGÓN</c:v>
                </c:pt>
                <c:pt idx="4">
                  <c:v>C. VALENCIANA</c:v>
                </c:pt>
                <c:pt idx="5">
                  <c:v>CATALUÑA</c:v>
                </c:pt>
              </c:strCache>
            </c:strRef>
          </c:cat>
          <c:val>
            <c:numRef>
              <c:f>'ALM-REPR'!$N$7:$N$12</c:f>
              <c:numCache>
                <c:formatCode>#,##0</c:formatCode>
                <c:ptCount val="6"/>
                <c:pt idx="0">
                  <c:v>142515.91999999987</c:v>
                </c:pt>
                <c:pt idx="1">
                  <c:v>122807</c:v>
                </c:pt>
                <c:pt idx="2">
                  <c:v>72261.179999999993</c:v>
                </c:pt>
                <c:pt idx="3">
                  <c:v>58848.249999999956</c:v>
                </c:pt>
                <c:pt idx="4">
                  <c:v>53322.159999999967</c:v>
                </c:pt>
                <c:pt idx="5">
                  <c:v>23269.339999999986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'ALM-REPR'!$P$7:$P$12</c15:f>
                <c15:dlblRangeCache>
                  <c:ptCount val="6"/>
                  <c:pt idx="0">
                    <c:v>73%</c:v>
                  </c:pt>
                  <c:pt idx="1">
                    <c:v>104%</c:v>
                  </c:pt>
                  <c:pt idx="2">
                    <c:v>97%</c:v>
                  </c:pt>
                  <c:pt idx="3">
                    <c:v>93%</c:v>
                  </c:pt>
                  <c:pt idx="4">
                    <c:v>68%</c:v>
                  </c:pt>
                  <c:pt idx="5">
                    <c:v>82%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5473344"/>
        <c:axId val="975475520"/>
      </c:barChart>
      <c:catAx>
        <c:axId val="97547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5520"/>
        <c:crosses val="autoZero"/>
        <c:auto val="1"/>
        <c:lblAlgn val="ctr"/>
        <c:lblOffset val="100"/>
        <c:noMultiLvlLbl val="0"/>
      </c:catAx>
      <c:valAx>
        <c:axId val="97547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Superficies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Almendro Regadío: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RSU REGEPA  vs SUPERFICIES ANUALES (2020)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'ALM-REPR'!$O$68</c:f>
              <c:strCache>
                <c:ptCount val="1"/>
                <c:pt idx="0">
                  <c:v>SUP.ANUALES 2020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'ALM-REPR'!$M$69:$M$74</c:f>
              <c:strCache>
                <c:ptCount val="6"/>
                <c:pt idx="0">
                  <c:v>ANDALUCÍA</c:v>
                </c:pt>
                <c:pt idx="1">
                  <c:v>C_ LA MANCHA</c:v>
                </c:pt>
                <c:pt idx="2">
                  <c:v>ARAGÓN</c:v>
                </c:pt>
                <c:pt idx="3">
                  <c:v>CATALUÑA</c:v>
                </c:pt>
                <c:pt idx="4">
                  <c:v>C. VALENCIANA</c:v>
                </c:pt>
                <c:pt idx="5">
                  <c:v>MURCIA</c:v>
                </c:pt>
              </c:strCache>
            </c:strRef>
          </c:cat>
          <c:val>
            <c:numRef>
              <c:f>'ALM-REPR'!$O$69:$O$74</c:f>
              <c:numCache>
                <c:formatCode>#,##0</c:formatCode>
                <c:ptCount val="6"/>
                <c:pt idx="0">
                  <c:v>28927</c:v>
                </c:pt>
                <c:pt idx="1">
                  <c:v>23363</c:v>
                </c:pt>
                <c:pt idx="2">
                  <c:v>20231</c:v>
                </c:pt>
                <c:pt idx="3">
                  <c:v>11031</c:v>
                </c:pt>
                <c:pt idx="4">
                  <c:v>14680</c:v>
                </c:pt>
                <c:pt idx="5">
                  <c:v>7034</c:v>
                </c:pt>
              </c:numCache>
            </c:numRef>
          </c:val>
          <c:extLst/>
        </c:ser>
        <c:ser>
          <c:idx val="1"/>
          <c:order val="1"/>
          <c:tx>
            <c:strRef>
              <c:f>'ALM-REPR'!$N$68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CB6F5A-5572-458A-ABB3-08BACCFF858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702D833-FC09-42BB-8C53-9CC0B472B19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F5B7D9-2FE7-40F1-8D1F-9E8FF198F39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2D14ECD-DC62-4D8E-9E8D-724BFBB309A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007735-3C1D-4DD8-A82F-BAD461A39FF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2ACE006-FDC8-4F8D-81DC-7E5FB60D9C0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'ALM-REPR'!$M$69:$M$74</c:f>
              <c:strCache>
                <c:ptCount val="6"/>
                <c:pt idx="0">
                  <c:v>ANDALUCÍA</c:v>
                </c:pt>
                <c:pt idx="1">
                  <c:v>C_ LA MANCHA</c:v>
                </c:pt>
                <c:pt idx="2">
                  <c:v>ARAGÓN</c:v>
                </c:pt>
                <c:pt idx="3">
                  <c:v>CATALUÑA</c:v>
                </c:pt>
                <c:pt idx="4">
                  <c:v>C. VALENCIANA</c:v>
                </c:pt>
                <c:pt idx="5">
                  <c:v>MURCIA</c:v>
                </c:pt>
              </c:strCache>
            </c:strRef>
          </c:cat>
          <c:val>
            <c:numRef>
              <c:f>'ALM-REPR'!$N$69:$N$74</c:f>
              <c:numCache>
                <c:formatCode>#,##0</c:formatCode>
                <c:ptCount val="6"/>
                <c:pt idx="0">
                  <c:v>24837.79</c:v>
                </c:pt>
                <c:pt idx="1">
                  <c:v>19052.830000000009</c:v>
                </c:pt>
                <c:pt idx="2">
                  <c:v>18893.05</c:v>
                </c:pt>
                <c:pt idx="3">
                  <c:v>11074.97</c:v>
                </c:pt>
                <c:pt idx="4">
                  <c:v>8162.7999999999947</c:v>
                </c:pt>
                <c:pt idx="5">
                  <c:v>6795.8499999999958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'ALM-REPR'!$P$69:$P$74</c15:f>
                <c15:dlblRangeCache>
                  <c:ptCount val="6"/>
                  <c:pt idx="0">
                    <c:v>86%</c:v>
                  </c:pt>
                  <c:pt idx="1">
                    <c:v>82%</c:v>
                  </c:pt>
                  <c:pt idx="2">
                    <c:v>93%</c:v>
                  </c:pt>
                  <c:pt idx="3">
                    <c:v>100%</c:v>
                  </c:pt>
                  <c:pt idx="4">
                    <c:v>56%</c:v>
                  </c:pt>
                  <c:pt idx="5">
                    <c:v>97%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5470080"/>
        <c:axId val="975476064"/>
      </c:barChart>
      <c:catAx>
        <c:axId val="9754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6064"/>
        <c:crosses val="autoZero"/>
        <c:auto val="1"/>
        <c:lblAlgn val="ctr"/>
        <c:lblOffset val="100"/>
        <c:noMultiLvlLbl val="0"/>
      </c:catAx>
      <c:valAx>
        <c:axId val="97547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Superficies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Almendro Secano: </a:t>
            </a:r>
          </a:p>
          <a:p>
            <a:pPr>
              <a:defRPr/>
            </a:pPr>
            <a:r>
              <a:rPr lang="en-US"/>
              <a:t>RSU REGEPA 2019 vs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'ALM-REPR'!$S$6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'ALM-REPR'!$R$7:$R$12</c:f>
              <c:strCache>
                <c:ptCount val="6"/>
                <c:pt idx="0">
                  <c:v>ANDALUCÍA</c:v>
                </c:pt>
                <c:pt idx="1">
                  <c:v>C_ LA MANCHA</c:v>
                </c:pt>
                <c:pt idx="2">
                  <c:v>MURCIA</c:v>
                </c:pt>
                <c:pt idx="3">
                  <c:v>ARAGÓN</c:v>
                </c:pt>
                <c:pt idx="4">
                  <c:v>C. VALENCIANA</c:v>
                </c:pt>
                <c:pt idx="5">
                  <c:v>CATALUÑA</c:v>
                </c:pt>
              </c:strCache>
            </c:strRef>
          </c:cat>
          <c:val>
            <c:numRef>
              <c:f>'ALM-REPR'!$S$7:$S$12</c:f>
              <c:numCache>
                <c:formatCode>#,##0</c:formatCode>
                <c:ptCount val="6"/>
                <c:pt idx="0">
                  <c:v>137758</c:v>
                </c:pt>
                <c:pt idx="1">
                  <c:v>115405</c:v>
                </c:pt>
                <c:pt idx="2">
                  <c:v>69810</c:v>
                </c:pt>
                <c:pt idx="3">
                  <c:v>56751</c:v>
                </c:pt>
                <c:pt idx="4">
                  <c:v>52273</c:v>
                </c:pt>
                <c:pt idx="5">
                  <c:v>24235</c:v>
                </c:pt>
              </c:numCache>
            </c:numRef>
          </c:val>
        </c:ser>
        <c:ser>
          <c:idx val="1"/>
          <c:order val="1"/>
          <c:tx>
            <c:strRef>
              <c:f>'ALM-REPR'!$T$6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996633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CBD674B4-41E7-4776-9A27-1711443C45E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F3D254F-0AF8-4106-8836-779572BE326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6C11594-A749-41F1-9CB9-3825EF45C69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0EF0E30-8CF8-4E1A-BD26-57CBB7B1C4C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2BBF95B-7109-4AF1-B519-EB408372DFE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6717397-F948-4493-80CE-E7E6B86F8E1B}" type="CELLRANGE">
                      <a:rPr lang="es-ES"/>
                      <a:pPr>
                        <a:defRPr sz="1200" b="1">
                          <a:solidFill>
                            <a:srgbClr val="C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'ALM-REPR'!$R$7:$R$12</c:f>
              <c:strCache>
                <c:ptCount val="6"/>
                <c:pt idx="0">
                  <c:v>ANDALUCÍA</c:v>
                </c:pt>
                <c:pt idx="1">
                  <c:v>C_ LA MANCHA</c:v>
                </c:pt>
                <c:pt idx="2">
                  <c:v>MURCIA</c:v>
                </c:pt>
                <c:pt idx="3">
                  <c:v>ARAGÓN</c:v>
                </c:pt>
                <c:pt idx="4">
                  <c:v>C. VALENCIANA</c:v>
                </c:pt>
                <c:pt idx="5">
                  <c:v>CATALUÑA</c:v>
                </c:pt>
              </c:strCache>
            </c:strRef>
          </c:cat>
          <c:val>
            <c:numRef>
              <c:f>'ALM-REPR'!$T$7:$T$12</c:f>
              <c:numCache>
                <c:formatCode>#,##0</c:formatCode>
                <c:ptCount val="6"/>
                <c:pt idx="0">
                  <c:v>142516</c:v>
                </c:pt>
                <c:pt idx="1">
                  <c:v>122807</c:v>
                </c:pt>
                <c:pt idx="2">
                  <c:v>72261.179999999993</c:v>
                </c:pt>
                <c:pt idx="3">
                  <c:v>58848.249999999956</c:v>
                </c:pt>
                <c:pt idx="4">
                  <c:v>53322.159999999967</c:v>
                </c:pt>
                <c:pt idx="5">
                  <c:v>23269.339999999986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'ALM-REPR'!$U$7:$U$12</c15:f>
                <c15:dlblRangeCache>
                  <c:ptCount val="6"/>
                  <c:pt idx="0">
                    <c:v>3,5%</c:v>
                  </c:pt>
                  <c:pt idx="1">
                    <c:v>6,4%</c:v>
                  </c:pt>
                  <c:pt idx="2">
                    <c:v>3,5%</c:v>
                  </c:pt>
                  <c:pt idx="3">
                    <c:v>3,7%</c:v>
                  </c:pt>
                  <c:pt idx="4">
                    <c:v>2,0%</c:v>
                  </c:pt>
                  <c:pt idx="5">
                    <c:v>-4,0%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5470624"/>
        <c:axId val="975471712"/>
      </c:barChart>
      <c:catAx>
        <c:axId val="975470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1712"/>
        <c:crosses val="autoZero"/>
        <c:auto val="1"/>
        <c:lblAlgn val="ctr"/>
        <c:lblOffset val="100"/>
        <c:noMultiLvlLbl val="0"/>
      </c:catAx>
      <c:valAx>
        <c:axId val="975471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Almendro Regadío: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RSU REGEPA 2019 vs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'ALM-REPR'!$S$68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'ALM-REPR'!$R$69:$R$74</c:f>
              <c:strCache>
                <c:ptCount val="6"/>
                <c:pt idx="0">
                  <c:v>ANDALUCÍA</c:v>
                </c:pt>
                <c:pt idx="1">
                  <c:v>C_ LA MANCHA</c:v>
                </c:pt>
                <c:pt idx="2">
                  <c:v>ARAGÓN</c:v>
                </c:pt>
                <c:pt idx="3">
                  <c:v>CATALUÑA</c:v>
                </c:pt>
                <c:pt idx="4">
                  <c:v>C. VALENCIANA</c:v>
                </c:pt>
                <c:pt idx="5">
                  <c:v>MURCIA</c:v>
                </c:pt>
              </c:strCache>
            </c:strRef>
          </c:cat>
          <c:val>
            <c:numRef>
              <c:f>'ALM-REPR'!$S$69:$S$74</c:f>
              <c:numCache>
                <c:formatCode>#,##0</c:formatCode>
                <c:ptCount val="6"/>
                <c:pt idx="0">
                  <c:v>20318</c:v>
                </c:pt>
                <c:pt idx="1">
                  <c:v>16836</c:v>
                </c:pt>
                <c:pt idx="2">
                  <c:v>7773</c:v>
                </c:pt>
                <c:pt idx="3">
                  <c:v>9739</c:v>
                </c:pt>
                <c:pt idx="4">
                  <c:v>7686</c:v>
                </c:pt>
                <c:pt idx="5">
                  <c:v>6643</c:v>
                </c:pt>
              </c:numCache>
            </c:numRef>
          </c:val>
        </c:ser>
        <c:ser>
          <c:idx val="1"/>
          <c:order val="1"/>
          <c:tx>
            <c:strRef>
              <c:f>'ALM-REPR'!$T$68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18C57DF-7B66-4B19-A811-E941B78969F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A917D2-A47B-4809-936B-9DD4B1B6B73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ECB9A1D-412B-4942-9494-6209D7A2664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A810B8A-EC1D-4180-95DE-7D7CD4AFD8C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71DBAB9-F898-4516-BD17-E727DD13E3E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7C75B9D-7AC9-4159-800B-9C705FEE86A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'ALM-REPR'!$R$69:$R$74</c:f>
              <c:strCache>
                <c:ptCount val="6"/>
                <c:pt idx="0">
                  <c:v>ANDALUCÍA</c:v>
                </c:pt>
                <c:pt idx="1">
                  <c:v>C_ LA MANCHA</c:v>
                </c:pt>
                <c:pt idx="2">
                  <c:v>ARAGÓN</c:v>
                </c:pt>
                <c:pt idx="3">
                  <c:v>CATALUÑA</c:v>
                </c:pt>
                <c:pt idx="4">
                  <c:v>C. VALENCIANA</c:v>
                </c:pt>
                <c:pt idx="5">
                  <c:v>MURCIA</c:v>
                </c:pt>
              </c:strCache>
            </c:strRef>
          </c:cat>
          <c:val>
            <c:numRef>
              <c:f>'ALM-REPR'!$T$69:$T$74</c:f>
              <c:numCache>
                <c:formatCode>#,##0</c:formatCode>
                <c:ptCount val="6"/>
                <c:pt idx="0">
                  <c:v>24837.79</c:v>
                </c:pt>
                <c:pt idx="1">
                  <c:v>19052.830000000009</c:v>
                </c:pt>
                <c:pt idx="2">
                  <c:v>18893.05</c:v>
                </c:pt>
                <c:pt idx="3">
                  <c:v>11074.97</c:v>
                </c:pt>
                <c:pt idx="4">
                  <c:v>8162.7999999999947</c:v>
                </c:pt>
                <c:pt idx="5">
                  <c:v>6795.8499999999958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'ALM-REPR'!$U$69:$U$74</c15:f>
                <c15:dlblRangeCache>
                  <c:ptCount val="6"/>
                  <c:pt idx="0">
                    <c:v>22%</c:v>
                  </c:pt>
                  <c:pt idx="1">
                    <c:v>13%</c:v>
                  </c:pt>
                  <c:pt idx="2">
                    <c:v>143%</c:v>
                  </c:pt>
                  <c:pt idx="3">
                    <c:v>14%</c:v>
                  </c:pt>
                  <c:pt idx="4">
                    <c:v>6%</c:v>
                  </c:pt>
                  <c:pt idx="5">
                    <c:v>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5466816"/>
        <c:axId val="975467360"/>
      </c:barChart>
      <c:catAx>
        <c:axId val="975466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67360"/>
        <c:crosses val="autoZero"/>
        <c:auto val="1"/>
        <c:lblAlgn val="ctr"/>
        <c:lblOffset val="100"/>
        <c:noMultiLvlLbl val="0"/>
      </c:catAx>
      <c:valAx>
        <c:axId val="975467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Pistacho (secano): </a:t>
            </a:r>
            <a:r>
              <a:rPr lang="en-US">
                <a:solidFill>
                  <a:sysClr val="windowText" lastClr="000000"/>
                </a:solidFill>
              </a:rPr>
              <a:t>RSU REGEPA 2019 vs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908821638259073"/>
          <c:y val="0.14393518518518519"/>
          <c:w val="0.77128672168990919"/>
          <c:h val="0.614884076990376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'PIS-REPR'!$Q$7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'PIS-REPR'!$P$8:$P$12</c:f>
              <c:strCache>
                <c:ptCount val="5"/>
                <c:pt idx="0">
                  <c:v>C.-LA MANCHA</c:v>
                </c:pt>
                <c:pt idx="1">
                  <c:v>ANDALUCIA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'PIS-REPR'!$Q$8:$Q$12</c:f>
              <c:numCache>
                <c:formatCode>#,##0</c:formatCode>
                <c:ptCount val="5"/>
                <c:pt idx="0">
                  <c:v>23719.399999999998</c:v>
                </c:pt>
                <c:pt idx="1">
                  <c:v>2395.46</c:v>
                </c:pt>
                <c:pt idx="2">
                  <c:v>1303.8500000000001</c:v>
                </c:pt>
                <c:pt idx="3">
                  <c:v>890.04</c:v>
                </c:pt>
                <c:pt idx="4">
                  <c:v>313.89999999999998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C6-42A5-AC45-0F6B23C22A22}"/>
            </c:ext>
          </c:extLst>
        </c:ser>
        <c:ser>
          <c:idx val="1"/>
          <c:order val="1"/>
          <c:tx>
            <c:strRef>
              <c:f>'PIS-REPR'!$R$7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8F331C0F-1EF1-49E4-A2EA-82E08F410CB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26890F9-2C53-47A9-964A-AE9CFFAF43D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4E6A571-D966-4217-897A-510E8466379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5CE429B-12BA-49FF-8DA9-0838E1F9388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49D64655-9E72-4B3B-8106-FE637E3243F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'PIS-REPR'!$P$8:$P$12</c:f>
              <c:strCache>
                <c:ptCount val="5"/>
                <c:pt idx="0">
                  <c:v>C.-LA MANCHA</c:v>
                </c:pt>
                <c:pt idx="1">
                  <c:v>ANDALUCIA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'PIS-REPR'!$R$8:$R$12</c:f>
              <c:numCache>
                <c:formatCode>#,##0</c:formatCode>
                <c:ptCount val="5"/>
                <c:pt idx="0">
                  <c:v>29250.860000000008</c:v>
                </c:pt>
                <c:pt idx="1">
                  <c:v>2889.32</c:v>
                </c:pt>
                <c:pt idx="2">
                  <c:v>1761.6699999999996</c:v>
                </c:pt>
                <c:pt idx="3">
                  <c:v>1140.9099999999999</c:v>
                </c:pt>
                <c:pt idx="4">
                  <c:v>383.07000000000005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C6-42A5-AC45-0F6B23C22A22}"/>
            </c:ext>
            <c:ext xmlns:c15="http://schemas.microsoft.com/office/drawing/2012/chart" uri="{02D57815-91ED-43cb-92C2-25804820EDAC}">
              <c15:datalabelsRange>
                <c15:f>'PIS-REPR'!$S$8:$S$12</c15:f>
                <c15:dlblRangeCache>
                  <c:ptCount val="5"/>
                  <c:pt idx="0">
                    <c:v>23,3%</c:v>
                  </c:pt>
                  <c:pt idx="1">
                    <c:v>20,6%</c:v>
                  </c:pt>
                  <c:pt idx="2">
                    <c:v>35,1%</c:v>
                  </c:pt>
                  <c:pt idx="3">
                    <c:v>28,2%</c:v>
                  </c:pt>
                  <c:pt idx="4">
                    <c:v>22,0%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468448"/>
        <c:axId val="975480416"/>
      </c:barChart>
      <c:catAx>
        <c:axId val="975468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80416"/>
        <c:crosses val="autoZero"/>
        <c:auto val="1"/>
        <c:lblAlgn val="ctr"/>
        <c:lblOffset val="100"/>
        <c:noMultiLvlLbl val="0"/>
      </c:catAx>
      <c:valAx>
        <c:axId val="97548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47850657222064097"/>
              <c:y val="0.84307050160396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36696918909232"/>
          <c:y val="0.91346420239136761"/>
          <c:w val="0.55673287414415662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solidFill>
                  <a:sysClr val="windowText" lastClr="000000"/>
                </a:solidFill>
                <a:effectLst/>
              </a:rPr>
              <a:t>Pistacho (Secano): </a:t>
            </a:r>
            <a:r>
              <a:rPr lang="es-ES" sz="1400" b="0" i="0" baseline="0">
                <a:solidFill>
                  <a:sysClr val="windowText" lastClr="000000"/>
                </a:solidFill>
                <a:effectLst/>
              </a:rPr>
              <a:t>Superficies anuales 2020 (ha) </a:t>
            </a:r>
            <a:endParaRPr lang="es-ES" sz="1400">
              <a:solidFill>
                <a:sysClr val="windowText" lastClr="000000"/>
              </a:solidFill>
              <a:effectLst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400" b="0" i="0" baseline="0">
                <a:solidFill>
                  <a:sysClr val="windowText" lastClr="000000"/>
                </a:solidFill>
                <a:effectLst/>
              </a:rPr>
              <a:t>vs RSU REGEPA 2020</a:t>
            </a:r>
            <a:endParaRPr lang="es-ES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Superficies anuales 2020 (ha)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'PIS-REPR'!$K$8:$K$12</c:f>
              <c:strCache>
                <c:ptCount val="5"/>
                <c:pt idx="0">
                  <c:v>C.-LA MANCHA</c:v>
                </c:pt>
                <c:pt idx="1">
                  <c:v>ANDALUCIA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'PIS-REPR'!$M$8:$M$12</c:f>
              <c:numCache>
                <c:formatCode>#,##0</c:formatCode>
                <c:ptCount val="5"/>
                <c:pt idx="0">
                  <c:v>28293</c:v>
                </c:pt>
                <c:pt idx="1">
                  <c:v>2909</c:v>
                </c:pt>
                <c:pt idx="2">
                  <c:v>453</c:v>
                </c:pt>
                <c:pt idx="3">
                  <c:v>391</c:v>
                </c:pt>
                <c:pt idx="4">
                  <c:v>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CC-4537-9573-7B8B50606106}"/>
            </c:ext>
          </c:extLst>
        </c:ser>
        <c:ser>
          <c:idx val="0"/>
          <c:order val="1"/>
          <c:tx>
            <c:v>RSU REGEPA 2020</c:v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4FDB110-0C8B-4560-8EB4-632F9FC5BC2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96D91A5-EF8B-4648-9B54-554D8D7A59B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F94BCEA-2A9C-46A4-A4EE-1DDE93191DA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68E9CBB-6826-4382-9AFB-DD8492858AD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C44F7D5-0E51-49FA-BDA4-16FFEABAD9D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'PIS-REPR'!$K$8:$K$12</c:f>
              <c:strCache>
                <c:ptCount val="5"/>
                <c:pt idx="0">
                  <c:v>C.-LA MANCHA</c:v>
                </c:pt>
                <c:pt idx="1">
                  <c:v>ANDALUCIA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'PIS-REPR'!$L$8:$L$12</c:f>
              <c:numCache>
                <c:formatCode>#,##0</c:formatCode>
                <c:ptCount val="5"/>
                <c:pt idx="0">
                  <c:v>29250.860000000008</c:v>
                </c:pt>
                <c:pt idx="1">
                  <c:v>2889.32</c:v>
                </c:pt>
                <c:pt idx="2">
                  <c:v>1761.6699999999996</c:v>
                </c:pt>
                <c:pt idx="3">
                  <c:v>1140.9099999999999</c:v>
                </c:pt>
                <c:pt idx="4">
                  <c:v>383.07000000000005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CC-4537-9573-7B8B50606106}"/>
            </c:ext>
            <c:ext xmlns:c15="http://schemas.microsoft.com/office/drawing/2012/chart" uri="{02D57815-91ED-43cb-92C2-25804820EDAC}">
              <c15:datalabelsRange>
                <c15:f>'PIS-REPR'!$N$8:$N$12</c15:f>
                <c15:dlblRangeCache>
                  <c:ptCount val="5"/>
                  <c:pt idx="0">
                    <c:v>103%</c:v>
                  </c:pt>
                  <c:pt idx="1">
                    <c:v>99%</c:v>
                  </c:pt>
                  <c:pt idx="2">
                    <c:v>389%</c:v>
                  </c:pt>
                  <c:pt idx="3">
                    <c:v>292%</c:v>
                  </c:pt>
                  <c:pt idx="4">
                    <c:v>92%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467904"/>
        <c:axId val="975472800"/>
      </c:barChart>
      <c:catAx>
        <c:axId val="9754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2800"/>
        <c:crosses val="autoZero"/>
        <c:auto val="1"/>
        <c:lblAlgn val="ctr"/>
        <c:lblOffset val="100"/>
        <c:noMultiLvlLbl val="0"/>
      </c:catAx>
      <c:valAx>
        <c:axId val="97547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</a:t>
                </a:r>
                <a:r>
                  <a:rPr lang="es-ES" b="1" baseline="0">
                    <a:solidFill>
                      <a:schemeClr val="tx1"/>
                    </a:solidFill>
                  </a:rPr>
                  <a:t> (ha)</a:t>
                </a:r>
                <a:endParaRPr lang="es-ES" b="1">
                  <a:solidFill>
                    <a:schemeClr val="tx1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Frutos Secos en Regadío: </a:t>
            </a:r>
          </a:p>
          <a:p>
            <a:pPr>
              <a:defRPr/>
            </a:pPr>
            <a:r>
              <a:rPr lang="es-ES" sz="1400" b="0" i="0" baseline="0">
                <a:effectLst/>
              </a:rPr>
              <a:t>Superficies anuales 2020 vs RSU REGEPA 2020</a:t>
            </a:r>
            <a:endParaRPr lang="es-E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'Frutos secos TOTAL'!$N$150</c:f>
              <c:strCache>
                <c:ptCount val="1"/>
                <c:pt idx="0">
                  <c:v>Superficies anuales 2020 (ha)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5000000000000001E-2"/>
                  <c:y val="-4.6296296296296294E-3"/>
                </c:manualLayout>
              </c:layout>
              <c:tx>
                <c:rich>
                  <a:bodyPr/>
                  <a:lstStyle/>
                  <a:p>
                    <a:fld id="{0BA7CD16-618B-4448-A23D-12A04C67135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3.3333333333333333E-2"/>
                  <c:y val="-4.6296296296296294E-3"/>
                </c:manualLayout>
              </c:layout>
              <c:tx>
                <c:rich>
                  <a:bodyPr/>
                  <a:lstStyle/>
                  <a:p>
                    <a:fld id="{57E356C7-244A-43AC-B60C-CB2398B0FC0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2.7777777777777676E-2"/>
                  <c:y val="-4.6296296296297144E-3"/>
                </c:manualLayout>
              </c:layout>
              <c:tx>
                <c:rich>
                  <a:bodyPr/>
                  <a:lstStyle/>
                  <a:p>
                    <a:fld id="{C3859C15-2EF7-4053-86E6-F64C74A3D56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tx>
                <c:rich>
                  <a:bodyPr/>
                  <a:lstStyle/>
                  <a:p>
                    <a:fld id="{47AD1A12-62A8-4962-85FA-5CC24C94373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'Frutos secos TOTAL'!$M$151:$M$154</c:f>
              <c:strCache>
                <c:ptCount val="4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</c:strCache>
            </c:strRef>
          </c:cat>
          <c:val>
            <c:numRef>
              <c:f>'Frutos secos TOTAL'!$N$151:$N$154</c:f>
              <c:numCache>
                <c:formatCode>#,##0</c:formatCode>
                <c:ptCount val="4"/>
                <c:pt idx="0">
                  <c:v>118202</c:v>
                </c:pt>
                <c:pt idx="1">
                  <c:v>15699</c:v>
                </c:pt>
                <c:pt idx="2">
                  <c:v>8298</c:v>
                </c:pt>
                <c:pt idx="3">
                  <c:v>1231.896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'Frutos secos TOTAL'!$P$151:$P$154</c15:f>
                <c15:dlblRangeCache>
                  <c:ptCount val="4"/>
                  <c:pt idx="0">
                    <c:v>84%</c:v>
                  </c:pt>
                  <c:pt idx="1">
                    <c:v>75%</c:v>
                  </c:pt>
                  <c:pt idx="2">
                    <c:v>83%</c:v>
                  </c:pt>
                  <c:pt idx="3">
                    <c:v>58%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'Frutos secos TOTAL'!$O$150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'Frutos secos TOTAL'!$M$151:$M$154</c:f>
              <c:strCache>
                <c:ptCount val="4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</c:strCache>
            </c:strRef>
          </c:cat>
          <c:val>
            <c:numRef>
              <c:f>'Frutos secos TOTAL'!$O$151:$O$154</c:f>
              <c:numCache>
                <c:formatCode>#,##0</c:formatCode>
                <c:ptCount val="4"/>
                <c:pt idx="0">
                  <c:v>99478</c:v>
                </c:pt>
                <c:pt idx="1">
                  <c:v>11729.22</c:v>
                </c:pt>
                <c:pt idx="2">
                  <c:v>6911.850000000004</c:v>
                </c:pt>
                <c:pt idx="3">
                  <c:v>715.95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224816"/>
        <c:axId val="970217744"/>
        <c:axId val="0"/>
      </c:bar3DChart>
      <c:catAx>
        <c:axId val="97022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17744"/>
        <c:crosses val="autoZero"/>
        <c:auto val="1"/>
        <c:lblAlgn val="ctr"/>
        <c:lblOffset val="100"/>
        <c:noMultiLvlLbl val="0"/>
      </c:catAx>
      <c:valAx>
        <c:axId val="97021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Pistacho (Secano): </a:t>
            </a:r>
            <a:r>
              <a:rPr lang="es-ES"/>
              <a:t>Superficies anuales 2020 (ha) </a:t>
            </a:r>
          </a:p>
          <a:p>
            <a:pPr>
              <a:defRPr/>
            </a:pPr>
            <a:r>
              <a:rPr lang="es-ES"/>
              <a:t>vs RSU REGEPA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91028058112453"/>
          <c:y val="0.23841584158415841"/>
          <c:w val="0.8144044582455362"/>
          <c:h val="0.57114004313817213"/>
        </c:manualLayout>
      </c:layout>
      <c:barChart>
        <c:barDir val="col"/>
        <c:grouping val="clustered"/>
        <c:varyColors val="0"/>
        <c:ser>
          <c:idx val="1"/>
          <c:order val="0"/>
          <c:tx>
            <c:v>Superficies anuales 2020 (ha)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'PIS-REPR'!$K$68:$K$72</c:f>
              <c:strCache>
                <c:ptCount val="5"/>
                <c:pt idx="0">
                  <c:v>C.-LA MANCHA</c:v>
                </c:pt>
                <c:pt idx="1">
                  <c:v>ANDALUCIA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'PIS-REPR'!$M$68:$M$72</c:f>
              <c:numCache>
                <c:formatCode>#,##0</c:formatCode>
                <c:ptCount val="5"/>
                <c:pt idx="0">
                  <c:v>9648</c:v>
                </c:pt>
                <c:pt idx="1">
                  <c:v>1335</c:v>
                </c:pt>
                <c:pt idx="2">
                  <c:v>1781</c:v>
                </c:pt>
                <c:pt idx="3">
                  <c:v>1196</c:v>
                </c:pt>
                <c:pt idx="4">
                  <c:v>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57-497C-952D-088DEB4B3E83}"/>
            </c:ext>
          </c:extLst>
        </c:ser>
        <c:ser>
          <c:idx val="0"/>
          <c:order val="1"/>
          <c:tx>
            <c:v>RSU REGEPA 2020</c:v>
          </c:tx>
          <c:spPr>
            <a:solidFill>
              <a:srgbClr val="92D050"/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77EB4A-0C37-4F1E-9AF2-AEE0055B273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BD57291-36F5-4478-8046-DFCBEA4AB85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E3F3576-1993-47F0-AAD0-77C8C340824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123EDB8-C001-4A61-95DB-DDB56DAE279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66B5647-048A-47AE-89DD-DA81781FF6A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'PIS-REPR'!$K$68:$K$72</c:f>
              <c:strCache>
                <c:ptCount val="5"/>
                <c:pt idx="0">
                  <c:v>C.-LA MANCHA</c:v>
                </c:pt>
                <c:pt idx="1">
                  <c:v>ANDALUCIA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'PIS-REPR'!$L$68:$L$72</c:f>
              <c:numCache>
                <c:formatCode>#,##0</c:formatCode>
                <c:ptCount val="5"/>
                <c:pt idx="0">
                  <c:v>8552.4400000000023</c:v>
                </c:pt>
                <c:pt idx="1">
                  <c:v>1015.4000000000001</c:v>
                </c:pt>
                <c:pt idx="2">
                  <c:v>486.86999999999995</c:v>
                </c:pt>
                <c:pt idx="3">
                  <c:v>424.34000000000003</c:v>
                </c:pt>
                <c:pt idx="4">
                  <c:v>396.16999999999996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57-497C-952D-088DEB4B3E83}"/>
            </c:ext>
            <c:ext xmlns:c15="http://schemas.microsoft.com/office/drawing/2012/chart" uri="{02D57815-91ED-43cb-92C2-25804820EDAC}">
              <c15:datalabelsRange>
                <c15:f>'PIS-REPR'!$N$68:$N$72</c15:f>
                <c15:dlblRangeCache>
                  <c:ptCount val="5"/>
                  <c:pt idx="0">
                    <c:v>89%</c:v>
                  </c:pt>
                  <c:pt idx="1">
                    <c:v>76%</c:v>
                  </c:pt>
                  <c:pt idx="2">
                    <c:v>27%</c:v>
                  </c:pt>
                  <c:pt idx="3">
                    <c:v>35%</c:v>
                  </c:pt>
                  <c:pt idx="4">
                    <c:v>101%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5468992"/>
        <c:axId val="975477696"/>
      </c:barChart>
      <c:catAx>
        <c:axId val="97546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7696"/>
        <c:crosses val="autoZero"/>
        <c:auto val="1"/>
        <c:lblAlgn val="ctr"/>
        <c:lblOffset val="100"/>
        <c:noMultiLvlLbl val="0"/>
      </c:catAx>
      <c:valAx>
        <c:axId val="97547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6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140240881104814"/>
          <c:y val="0.91694117443240375"/>
          <c:w val="0.57713268084480096"/>
          <c:h val="7.4257945479587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Pistacho</a:t>
            </a:r>
            <a:r>
              <a:rPr lang="en-US" b="1" baseline="0">
                <a:solidFill>
                  <a:sysClr val="windowText" lastClr="000000"/>
                </a:solidFill>
              </a:rPr>
              <a:t> (</a:t>
            </a:r>
            <a:r>
              <a:rPr lang="en-US" b="1">
                <a:solidFill>
                  <a:sysClr val="windowText" lastClr="000000"/>
                </a:solidFill>
              </a:rPr>
              <a:t>Regadío): </a:t>
            </a:r>
          </a:p>
          <a:p>
            <a:pPr>
              <a:defRPr/>
            </a:pPr>
            <a:r>
              <a:rPr lang="en-US"/>
              <a:t>RSU REGEPA 2019 vs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29441227254001"/>
          <c:y val="0.20056460369163953"/>
          <c:w val="0.7974264328070102"/>
          <c:h val="0.541982952456675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'PIS-REPR'!$Q$67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'PIS-REPR'!$P$68:$P$72</c:f>
              <c:strCache>
                <c:ptCount val="5"/>
                <c:pt idx="0">
                  <c:v>C.-LA MANCHA</c:v>
                </c:pt>
                <c:pt idx="1">
                  <c:v>ANDALUCIA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'PIS-REPR'!$Q$68:$Q$72</c:f>
              <c:numCache>
                <c:formatCode>#,##0</c:formatCode>
                <c:ptCount val="5"/>
                <c:pt idx="0">
                  <c:v>6133.9100000000008</c:v>
                </c:pt>
                <c:pt idx="1">
                  <c:v>866.82000000000016</c:v>
                </c:pt>
                <c:pt idx="2">
                  <c:v>394.40000000000009</c:v>
                </c:pt>
                <c:pt idx="3">
                  <c:v>380.04000000000008</c:v>
                </c:pt>
                <c:pt idx="4">
                  <c:v>313.90999999999997</c:v>
                </c:pt>
              </c:numCache>
            </c:numRef>
          </c:val>
        </c:ser>
        <c:ser>
          <c:idx val="1"/>
          <c:order val="1"/>
          <c:tx>
            <c:strRef>
              <c:f>'PIS-REPR'!$R$67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A34B77B-2E82-400F-BEDB-B21CF08B31E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F036CCE-54C0-438B-AAA1-0AF51EF8865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17943F-24DF-4A6C-B438-298EA7021BE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3963D10-CCF9-48BD-AEA6-BBC9F4A733D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9210297-23BF-4C99-BB96-EA0422CACBB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'PIS-REPR'!$P$68:$P$72</c:f>
              <c:strCache>
                <c:ptCount val="5"/>
                <c:pt idx="0">
                  <c:v>C.-LA MANCHA</c:v>
                </c:pt>
                <c:pt idx="1">
                  <c:v>ANDALUCIA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'PIS-REPR'!$R$68:$R$72</c:f>
              <c:numCache>
                <c:formatCode>#,##0</c:formatCode>
                <c:ptCount val="5"/>
                <c:pt idx="0">
                  <c:v>8552.4400000000023</c:v>
                </c:pt>
                <c:pt idx="1">
                  <c:v>1015.4000000000001</c:v>
                </c:pt>
                <c:pt idx="2">
                  <c:v>486.86999999999995</c:v>
                </c:pt>
                <c:pt idx="3">
                  <c:v>424.34000000000003</c:v>
                </c:pt>
                <c:pt idx="4">
                  <c:v>396.16999999999996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'PIS-REPR'!$S$68:$S$72</c15:f>
                <c15:dlblRangeCache>
                  <c:ptCount val="5"/>
                  <c:pt idx="0">
                    <c:v>39%</c:v>
                  </c:pt>
                  <c:pt idx="1">
                    <c:v>17%</c:v>
                  </c:pt>
                  <c:pt idx="2">
                    <c:v>23%</c:v>
                  </c:pt>
                  <c:pt idx="3">
                    <c:v>12%</c:v>
                  </c:pt>
                  <c:pt idx="4">
                    <c:v>26%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5474976"/>
        <c:axId val="975469536"/>
      </c:barChart>
      <c:catAx>
        <c:axId val="975474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69536"/>
        <c:crosses val="autoZero"/>
        <c:auto val="1"/>
        <c:lblAlgn val="ctr"/>
        <c:lblOffset val="100"/>
        <c:noMultiLvlLbl val="0"/>
      </c:catAx>
      <c:valAx>
        <c:axId val="97546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30575344748577"/>
          <c:y val="0.91802337411406632"/>
          <c:w val="0.43009142375721554"/>
          <c:h val="7.32904152453256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Avellano  (Secano):</a:t>
            </a:r>
          </a:p>
          <a:p>
            <a:pPr>
              <a:defRPr/>
            </a:pPr>
            <a:r>
              <a:rPr lang="es-ES"/>
              <a:t>RSU REGEPA vs SUPERFICIES ANUALES (2020)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'AVE-REPR'!$M$8</c:f>
              <c:strCache>
                <c:ptCount val="1"/>
                <c:pt idx="0">
                  <c:v>SUP.ANUALES 2020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'AVE-REPR'!$K$9:$K$10</c:f>
              <c:strCache>
                <c:ptCount val="2"/>
                <c:pt idx="0">
                  <c:v>CATALUÑA</c:v>
                </c:pt>
                <c:pt idx="1">
                  <c:v>C. VALENCIANA</c:v>
                </c:pt>
              </c:strCache>
            </c:strRef>
          </c:cat>
          <c:val>
            <c:numRef>
              <c:f>'AVE-REPR'!$M$9:$M$10</c:f>
              <c:numCache>
                <c:formatCode>#,##0</c:formatCode>
                <c:ptCount val="2"/>
                <c:pt idx="0">
                  <c:v>3649</c:v>
                </c:pt>
                <c:pt idx="1">
                  <c:v>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8-4847-A494-7618C0B96354}"/>
            </c:ext>
          </c:extLst>
        </c:ser>
        <c:ser>
          <c:idx val="1"/>
          <c:order val="1"/>
          <c:tx>
            <c:strRef>
              <c:f>'AVE-REPR'!$L$8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C39D404-060D-446B-8370-A076EABADFF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97A4707-2EB8-4A29-8B18-8D7CEF4F0C7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'AVE-REPR'!$K$9:$K$10</c:f>
              <c:strCache>
                <c:ptCount val="2"/>
                <c:pt idx="0">
                  <c:v>CATALUÑA</c:v>
                </c:pt>
                <c:pt idx="1">
                  <c:v>C. VALENCIANA</c:v>
                </c:pt>
              </c:strCache>
            </c:strRef>
          </c:cat>
          <c:val>
            <c:numRef>
              <c:f>'AVE-REPR'!$L$9:$L$10</c:f>
              <c:numCache>
                <c:formatCode>#,##0</c:formatCode>
                <c:ptCount val="2"/>
                <c:pt idx="0">
                  <c:v>2837.7999999999997</c:v>
                </c:pt>
                <c:pt idx="1">
                  <c:v>430.90999999999997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'AVE-REPR'!$N$9:$N$10</c15:f>
                <c15:dlblRangeCache>
                  <c:ptCount val="2"/>
                  <c:pt idx="0">
                    <c:v>78%</c:v>
                  </c:pt>
                  <c:pt idx="1">
                    <c:v>46%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9"/>
        <c:overlap val="-27"/>
        <c:axId val="975478784"/>
        <c:axId val="975472256"/>
      </c:barChart>
      <c:catAx>
        <c:axId val="9754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2256"/>
        <c:crosses val="autoZero"/>
        <c:auto val="1"/>
        <c:lblAlgn val="ctr"/>
        <c:lblOffset val="100"/>
        <c:noMultiLvlLbl val="0"/>
      </c:catAx>
      <c:valAx>
        <c:axId val="97547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Avellano (regadío): </a:t>
            </a:r>
            <a:r>
              <a:rPr lang="es-ES" u="sng"/>
              <a:t>Cataluña</a:t>
            </a:r>
            <a:r>
              <a:rPr lang="es-ES"/>
              <a:t>, </a:t>
            </a:r>
          </a:p>
          <a:p>
            <a:pPr>
              <a:defRPr/>
            </a:pPr>
            <a:r>
              <a:rPr lang="es-ES"/>
              <a:t>RSU REGEPA 2019 vs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'AVE-REPR'!$Q$60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663300"/>
                </a:solidFill>
              </a:ln>
              <a:effectLst/>
            </c:spPr>
          </c:dPt>
          <c:cat>
            <c:strRef>
              <c:f>'AVE-REPR'!$P$61</c:f>
              <c:strCache>
                <c:ptCount val="1"/>
                <c:pt idx="0">
                  <c:v>CATALUÑA</c:v>
                </c:pt>
              </c:strCache>
            </c:strRef>
          </c:cat>
          <c:val>
            <c:numRef>
              <c:f>'AVE-REPR'!$Q$61</c:f>
              <c:numCache>
                <c:formatCode>#,##0</c:formatCode>
                <c:ptCount val="1"/>
                <c:pt idx="0">
                  <c:v>7084.9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E3-46E4-80D6-E42433882EAC}"/>
            </c:ext>
          </c:extLst>
        </c:ser>
        <c:ser>
          <c:idx val="1"/>
          <c:order val="1"/>
          <c:tx>
            <c:strRef>
              <c:f>'AVE-REPR'!$R$60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663300"/>
                </a:solidFill>
              </a:ln>
              <a:effectLst/>
            </c:spPr>
          </c:dPt>
          <c:dLbls>
            <c:dLbl>
              <c:idx val="0"/>
              <c:tx>
                <c:rich>
                  <a:bodyPr/>
                  <a:lstStyle/>
                  <a:p>
                    <a:fld id="{E6844273-B247-41E8-AC2A-5D3B36E03A5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'AVE-REPR'!$P$61</c:f>
              <c:strCache>
                <c:ptCount val="1"/>
                <c:pt idx="0">
                  <c:v>CATALUÑA</c:v>
                </c:pt>
              </c:strCache>
            </c:strRef>
          </c:cat>
          <c:val>
            <c:numRef>
              <c:f>'AVE-REPR'!$R$61</c:f>
              <c:numCache>
                <c:formatCode>#,##0</c:formatCode>
                <c:ptCount val="1"/>
                <c:pt idx="0">
                  <c:v>6869.3400000000047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'AVE-REPR'!$S$61</c15:f>
                <c15:dlblRangeCache>
                  <c:ptCount val="1"/>
                  <c:pt idx="0">
                    <c:v>-3%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axId val="975473888"/>
        <c:axId val="975479328"/>
      </c:barChart>
      <c:catAx>
        <c:axId val="9754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9328"/>
        <c:crosses val="autoZero"/>
        <c:auto val="1"/>
        <c:lblAlgn val="ctr"/>
        <c:lblOffset val="100"/>
        <c:noMultiLvlLbl val="0"/>
      </c:catAx>
      <c:valAx>
        <c:axId val="9754793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Avellano (regadío): </a:t>
            </a:r>
            <a:r>
              <a:rPr lang="es-ES"/>
              <a:t>Cataluña, RSU REGEPA VS SUPERFICIE ANUAL (2020)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87769949808907"/>
          <c:y val="0.28723652056448279"/>
          <c:w val="0.79495855781185243"/>
          <c:h val="0.500313499514514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'AVE-REPR'!$M$60</c:f>
              <c:strCache>
                <c:ptCount val="1"/>
                <c:pt idx="0">
                  <c:v>SUP.ANUALES 2020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strRef>
              <c:f>'AVE-REPR'!$K$61</c:f>
              <c:strCache>
                <c:ptCount val="1"/>
                <c:pt idx="0">
                  <c:v>CATALUÑA</c:v>
                </c:pt>
              </c:strCache>
            </c:strRef>
          </c:cat>
          <c:val>
            <c:numRef>
              <c:f>'AVE-REPR'!$M$61</c:f>
              <c:numCache>
                <c:formatCode>#,##0</c:formatCode>
                <c:ptCount val="1"/>
                <c:pt idx="0">
                  <c:v>8236</c:v>
                </c:pt>
              </c:numCache>
            </c:numRef>
          </c:val>
        </c:ser>
        <c:ser>
          <c:idx val="0"/>
          <c:order val="1"/>
          <c:tx>
            <c:strRef>
              <c:f>'AVE-REPR'!$L$60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BE6AAF1-DE8A-4FA6-B28E-14AFD77EA4C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'AVE-REPR'!$K$61</c:f>
              <c:strCache>
                <c:ptCount val="1"/>
                <c:pt idx="0">
                  <c:v>CATALUÑA</c:v>
                </c:pt>
              </c:strCache>
            </c:strRef>
          </c:cat>
          <c:val>
            <c:numRef>
              <c:f>'AVE-REPR'!$L$61</c:f>
              <c:numCache>
                <c:formatCode>#,##0</c:formatCode>
                <c:ptCount val="1"/>
                <c:pt idx="0">
                  <c:v>6869.3400000000047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99-4C7E-8D48-E729C06EED58}"/>
            </c:ext>
            <c:ext xmlns:c15="http://schemas.microsoft.com/office/drawing/2012/chart" uri="{02D57815-91ED-43cb-92C2-25804820EDAC}">
              <c15:datalabelsRange>
                <c15:f>'AVE-REPR'!$N$61</c15:f>
                <c15:dlblRangeCache>
                  <c:ptCount val="1"/>
                  <c:pt idx="0">
                    <c:v>83%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5474432"/>
        <c:axId val="975477152"/>
      </c:barChart>
      <c:catAx>
        <c:axId val="9754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7152"/>
        <c:crosses val="autoZero"/>
        <c:auto val="1"/>
        <c:lblAlgn val="ctr"/>
        <c:lblOffset val="100"/>
        <c:noMultiLvlLbl val="0"/>
      </c:catAx>
      <c:valAx>
        <c:axId val="9754771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</a:t>
                </a:r>
                <a:r>
                  <a:rPr lang="es-ES" b="1" baseline="0">
                    <a:solidFill>
                      <a:schemeClr val="tx1"/>
                    </a:solidFill>
                  </a:rPr>
                  <a:t> (ha)</a:t>
                </a:r>
                <a:endParaRPr lang="es-ES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2.5448957038264955E-2"/>
              <c:y val="0.331558088412707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4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11935350186489"/>
          <c:y val="0.89993312566947381"/>
          <c:w val="0.55269696551089009"/>
          <c:h val="8.946382816720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Avellano (Secano):</a:t>
            </a:r>
          </a:p>
          <a:p>
            <a:pPr>
              <a:defRPr/>
            </a:pPr>
            <a:r>
              <a:rPr lang="es-ES"/>
              <a:t>RSU REGEPA 2019 vs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488692038495189"/>
          <c:y val="0.25025404157043879"/>
          <c:w val="0.76996041119860015"/>
          <c:h val="0.452847920568820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'AVE-REPR'!$Q$8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8E715B-6883-41AD-B11F-3CDC31233C20}" type="CELLRANGE">
                      <a:rPr lang="en-US"/>
                      <a:pPr>
                        <a:defRPr sz="110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DD8B117-3E34-40BA-92F3-3FAD6B38EB5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'AVE-REPR'!$P$9:$P$10</c:f>
              <c:strCache>
                <c:ptCount val="2"/>
                <c:pt idx="0">
                  <c:v>CATALUÑA</c:v>
                </c:pt>
                <c:pt idx="1">
                  <c:v>C. VALENCIANA</c:v>
                </c:pt>
              </c:strCache>
            </c:strRef>
          </c:cat>
          <c:val>
            <c:numRef>
              <c:f>'AVE-REPR'!$Q$9:$Q$10</c:f>
              <c:numCache>
                <c:formatCode>#,##0</c:formatCode>
                <c:ptCount val="2"/>
                <c:pt idx="0">
                  <c:v>2990.72</c:v>
                </c:pt>
                <c:pt idx="1">
                  <c:v>427.41000000000008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8-4847-A494-7618C0B96354}"/>
            </c:ext>
            <c:ext xmlns:c15="http://schemas.microsoft.com/office/drawing/2012/chart" uri="{02D57815-91ED-43cb-92C2-25804820EDAC}">
              <c15:datalabelsRange>
                <c15:f>'AVE-REPR'!$S$9:$S$10</c15:f>
                <c15:dlblRangeCache>
                  <c:ptCount val="2"/>
                  <c:pt idx="0">
                    <c:v>-5,1%</c:v>
                  </c:pt>
                  <c:pt idx="1">
                    <c:v>0,8%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'AVE-REPR'!$R$8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'AVE-REPR'!$P$9:$P$10</c:f>
              <c:strCache>
                <c:ptCount val="2"/>
                <c:pt idx="0">
                  <c:v>CATALUÑA</c:v>
                </c:pt>
                <c:pt idx="1">
                  <c:v>C. VALENCIANA</c:v>
                </c:pt>
              </c:strCache>
            </c:strRef>
          </c:cat>
          <c:val>
            <c:numRef>
              <c:f>'AVE-REPR'!$R$9:$R$10</c:f>
              <c:numCache>
                <c:formatCode>#,##0</c:formatCode>
                <c:ptCount val="2"/>
                <c:pt idx="0">
                  <c:v>2837.7999999999997</c:v>
                </c:pt>
                <c:pt idx="1">
                  <c:v>430.90999999999997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axId val="975481504"/>
        <c:axId val="975482048"/>
      </c:barChart>
      <c:catAx>
        <c:axId val="975481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82048"/>
        <c:crosses val="autoZero"/>
        <c:auto val="1"/>
        <c:lblAlgn val="ctr"/>
        <c:lblOffset val="100"/>
        <c:noMultiLvlLbl val="0"/>
      </c:catAx>
      <c:valAx>
        <c:axId val="97548204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8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Algarrobo (secano): </a:t>
            </a:r>
            <a:r>
              <a:rPr lang="es-ES"/>
              <a:t>RSU REGEPA 2020 vs ESYRCE 2020</a:t>
            </a:r>
          </a:p>
        </c:rich>
      </c:tx>
      <c:layout>
        <c:manualLayout>
          <c:xMode val="edge"/>
          <c:yMode val="edge"/>
          <c:x val="0.1704103140953534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ESYRCE 2020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'ALG-REPR'!$K$9:$K$13</c:f>
              <c:strCache>
                <c:ptCount val="5"/>
                <c:pt idx="0">
                  <c:v>C. VALENCIANA</c:v>
                </c:pt>
                <c:pt idx="1">
                  <c:v>CATALUÑA</c:v>
                </c:pt>
                <c:pt idx="2">
                  <c:v>ISLAS BALEARES</c:v>
                </c:pt>
                <c:pt idx="3">
                  <c:v>ANDALUCÍA</c:v>
                </c:pt>
                <c:pt idx="4">
                  <c:v>MURCIA</c:v>
                </c:pt>
              </c:strCache>
            </c:strRef>
          </c:cat>
          <c:val>
            <c:numRef>
              <c:f>'ALG-REPR'!$M$9:$M$13</c:f>
              <c:numCache>
                <c:formatCode>#,##0</c:formatCode>
                <c:ptCount val="5"/>
                <c:pt idx="0">
                  <c:v>16021.7531</c:v>
                </c:pt>
                <c:pt idx="1">
                  <c:v>6737.7255000000005</c:v>
                </c:pt>
                <c:pt idx="2">
                  <c:v>14489.3369</c:v>
                </c:pt>
                <c:pt idx="3">
                  <c:v>2272.4498000000003</c:v>
                </c:pt>
                <c:pt idx="4">
                  <c:v>1764.9068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E6-460C-A92B-00A5E0C8FC10}"/>
            </c:ext>
          </c:extLst>
        </c:ser>
        <c:ser>
          <c:idx val="0"/>
          <c:order val="1"/>
          <c:tx>
            <c:v>RSU REGEPA 2020</c:v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2856FFE-D6F3-4AD4-A3DE-1CE85023222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4C6C3E3-3D90-43B8-B60A-DE46D823E3B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B7639032-3CF4-4E9C-86FE-BE61C7B6A0D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1EB79E8-1D42-4483-AA23-8DB4FF5CFB1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3396C53-CF14-4238-929F-BF34CE9933F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'ALG-REPR'!$K$9:$K$13</c:f>
              <c:strCache>
                <c:ptCount val="5"/>
                <c:pt idx="0">
                  <c:v>C. VALENCIANA</c:v>
                </c:pt>
                <c:pt idx="1">
                  <c:v>CATALUÑA</c:v>
                </c:pt>
                <c:pt idx="2">
                  <c:v>ISLAS BALEARES</c:v>
                </c:pt>
                <c:pt idx="3">
                  <c:v>ANDALUCÍA</c:v>
                </c:pt>
                <c:pt idx="4">
                  <c:v>MURCIA</c:v>
                </c:pt>
              </c:strCache>
            </c:strRef>
          </c:cat>
          <c:val>
            <c:numRef>
              <c:f>'ALG-REPR'!$L$9:$L$13</c:f>
              <c:numCache>
                <c:formatCode>#,##0</c:formatCode>
                <c:ptCount val="5"/>
                <c:pt idx="0">
                  <c:v>6962.6600000000026</c:v>
                </c:pt>
                <c:pt idx="1">
                  <c:v>3616.1200000000008</c:v>
                </c:pt>
                <c:pt idx="2">
                  <c:v>2038.2100000000003</c:v>
                </c:pt>
                <c:pt idx="3">
                  <c:v>1015.86</c:v>
                </c:pt>
                <c:pt idx="4">
                  <c:v>734.82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E6-460C-A92B-00A5E0C8FC10}"/>
            </c:ext>
            <c:ext xmlns:c15="http://schemas.microsoft.com/office/drawing/2012/chart" uri="{02D57815-91ED-43cb-92C2-25804820EDAC}">
              <c15:datalabelsRange>
                <c15:f>'ALG-REPR'!$N$9:$N$13</c15:f>
                <c15:dlblRangeCache>
                  <c:ptCount val="5"/>
                  <c:pt idx="0">
                    <c:v>43%</c:v>
                  </c:pt>
                  <c:pt idx="1">
                    <c:v>54%</c:v>
                  </c:pt>
                  <c:pt idx="2">
                    <c:v>14%</c:v>
                  </c:pt>
                  <c:pt idx="3">
                    <c:v>45%</c:v>
                  </c:pt>
                  <c:pt idx="4">
                    <c:v>42%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478240"/>
        <c:axId val="975479872"/>
      </c:barChart>
      <c:catAx>
        <c:axId val="97547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9872"/>
        <c:crosses val="autoZero"/>
        <c:auto val="1"/>
        <c:lblAlgn val="ctr"/>
        <c:lblOffset val="100"/>
        <c:noMultiLvlLbl val="0"/>
      </c:catAx>
      <c:valAx>
        <c:axId val="97547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547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solidFill>
                  <a:sysClr val="windowText" lastClr="000000"/>
                </a:solidFill>
                <a:effectLst/>
              </a:rPr>
              <a:t>Algarrobo (secano): </a:t>
            </a:r>
            <a:r>
              <a:rPr lang="es-ES" sz="1400" b="0" i="0" baseline="0">
                <a:solidFill>
                  <a:sysClr val="windowText" lastClr="000000"/>
                </a:solidFill>
                <a:effectLst/>
              </a:rPr>
              <a:t>Distribución autonómica de la superficie plantada</a:t>
            </a:r>
            <a:endParaRPr lang="es-ES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82-4144-A86D-53A298ED977E}"/>
              </c:ext>
            </c:extLst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82-4144-A86D-53A298ED977E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82-4144-A86D-53A298ED977E}"/>
              </c:ext>
            </c:extLst>
          </c:dPt>
          <c:dPt>
            <c:idx val="3"/>
            <c:bubble3D val="0"/>
            <c:spPr>
              <a:solidFill>
                <a:schemeClr val="accent2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82-4144-A86D-53A298ED977E}"/>
              </c:ext>
            </c:extLst>
          </c:dPt>
          <c:dPt>
            <c:idx val="4"/>
            <c:bubble3D val="0"/>
            <c:spPr>
              <a:solidFill>
                <a:schemeClr val="accent2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82-4144-A86D-53A298ED977E}"/>
              </c:ext>
            </c:extLst>
          </c:dPt>
          <c:dLbls>
            <c:dLbl>
              <c:idx val="0"/>
              <c:layout>
                <c:manualLayout>
                  <c:x val="1.4990048118985126E-2"/>
                  <c:y val="3.08880139982502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('ALG-EDAD'!$A$5,'ALG-EDAD'!$A$13,'ALG-EDAD'!$A$17,'ALG-EDAD'!$A$23,'ALG-EDAD'!$A$25)</c:f>
              <c:strCache>
                <c:ptCount val="5"/>
                <c:pt idx="0">
                  <c:v>ANDALUCÍA</c:v>
                </c:pt>
                <c:pt idx="1">
                  <c:v>C. VALENCIANA</c:v>
                </c:pt>
                <c:pt idx="2">
                  <c:v>CATALUÑA</c:v>
                </c:pt>
                <c:pt idx="3">
                  <c:v>ISLAS BALEARES</c:v>
                </c:pt>
                <c:pt idx="4">
                  <c:v>MURCIA</c:v>
                </c:pt>
              </c:strCache>
            </c:strRef>
          </c:cat>
          <c:val>
            <c:numRef>
              <c:f>('ALG-EDAD'!$Z$5,'ALG-EDAD'!$Z$13,'ALG-EDAD'!$Z$17,'ALG-EDAD'!$Z$23,'ALG-EDAD'!$Z$25)</c:f>
              <c:numCache>
                <c:formatCode>0%</c:formatCode>
                <c:ptCount val="5"/>
                <c:pt idx="0">
                  <c:v>7.0699789093980864E-2</c:v>
                </c:pt>
                <c:pt idx="1">
                  <c:v>0.48448264704797683</c:v>
                </c:pt>
                <c:pt idx="2">
                  <c:v>0.25162041369866256</c:v>
                </c:pt>
                <c:pt idx="3">
                  <c:v>0.14182473020938216</c:v>
                </c:pt>
                <c:pt idx="4">
                  <c:v>5.1130967001662357E-2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B82-4144-A86D-53A298ED977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Algarrobo (regadío): </a:t>
            </a:r>
            <a:r>
              <a:rPr lang="es-ES"/>
              <a:t>RSU REGEPA 2020 vs ESYRCE 2020</a:t>
            </a:r>
          </a:p>
        </c:rich>
      </c:tx>
      <c:layout>
        <c:manualLayout>
          <c:xMode val="edge"/>
          <c:yMode val="edge"/>
          <c:x val="0.14066019417475728"/>
          <c:y val="2.2522522522522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ESYRCE 2020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'ALG-REPR'!$K$41:$K$45</c:f>
              <c:strCache>
                <c:ptCount val="5"/>
                <c:pt idx="0">
                  <c:v>C. VALENCIANA</c:v>
                </c:pt>
                <c:pt idx="1">
                  <c:v>CATALUÑA</c:v>
                </c:pt>
                <c:pt idx="2">
                  <c:v>ISLAS BALEARES</c:v>
                </c:pt>
                <c:pt idx="3">
                  <c:v>ANDALUCÍA</c:v>
                </c:pt>
                <c:pt idx="4">
                  <c:v>MURCIA</c:v>
                </c:pt>
              </c:strCache>
            </c:strRef>
          </c:cat>
          <c:val>
            <c:numRef>
              <c:f>'ALG-REPR'!$M$41:$M$45</c:f>
              <c:numCache>
                <c:formatCode>#,##0</c:formatCode>
                <c:ptCount val="5"/>
                <c:pt idx="0">
                  <c:v>202.92849999999999</c:v>
                </c:pt>
                <c:pt idx="1">
                  <c:v>825.59040000000005</c:v>
                </c:pt>
                <c:pt idx="2">
                  <c:v>115.0562</c:v>
                </c:pt>
                <c:pt idx="3">
                  <c:v>36.387799999999999</c:v>
                </c:pt>
                <c:pt idx="4">
                  <c:v>51.933100000000003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3A-4A46-94DD-1ADCEF890BF5}"/>
            </c:ext>
          </c:extLst>
        </c:ser>
        <c:ser>
          <c:idx val="0"/>
          <c:order val="1"/>
          <c:tx>
            <c:v>RSU REGEPA 2020</c:v>
          </c:tx>
          <c:spPr>
            <a:solidFill>
              <a:srgbClr val="92D050"/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EE6196AE-A876-4ED7-BB2B-A1E627EEA55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9EDF5AD-6633-46A8-B619-70FB7DE31EC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F711C5C-F3EE-49E3-A9B4-4D29376CE90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161C588-885F-4BBB-9EE7-E9625A0FC35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2060141-544B-4B27-81D8-E2768D68E53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'ALG-REPR'!$K$41:$K$45</c:f>
              <c:strCache>
                <c:ptCount val="5"/>
                <c:pt idx="0">
                  <c:v>C. VALENCIANA</c:v>
                </c:pt>
                <c:pt idx="1">
                  <c:v>CATALUÑA</c:v>
                </c:pt>
                <c:pt idx="2">
                  <c:v>ISLAS BALEARES</c:v>
                </c:pt>
                <c:pt idx="3">
                  <c:v>ANDALUCÍA</c:v>
                </c:pt>
                <c:pt idx="4">
                  <c:v>MURCIA</c:v>
                </c:pt>
              </c:strCache>
            </c:strRef>
          </c:cat>
          <c:val>
            <c:numRef>
              <c:f>'ALG-REPR'!$L$41:$L$45</c:f>
              <c:numCache>
                <c:formatCode>#,##0</c:formatCode>
                <c:ptCount val="5"/>
                <c:pt idx="0">
                  <c:v>98.739999999999966</c:v>
                </c:pt>
                <c:pt idx="1">
                  <c:v>420.49000000000007</c:v>
                </c:pt>
                <c:pt idx="2">
                  <c:v>17.899999999999999</c:v>
                </c:pt>
                <c:pt idx="3">
                  <c:v>100.14</c:v>
                </c:pt>
                <c:pt idx="4">
                  <c:v>78.29000000000002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3A-4A46-94DD-1ADCEF890BF5}"/>
            </c:ext>
            <c:ext xmlns:c15="http://schemas.microsoft.com/office/drawing/2012/chart" uri="{02D57815-91ED-43cb-92C2-25804820EDAC}">
              <c15:datalabelsRange>
                <c15:f>'ALG-REPR'!$N$41:$N$45</c15:f>
                <c15:dlblRangeCache>
                  <c:ptCount val="5"/>
                  <c:pt idx="0">
                    <c:v>49%</c:v>
                  </c:pt>
                  <c:pt idx="1">
                    <c:v>51%</c:v>
                  </c:pt>
                  <c:pt idx="2">
                    <c:v>16%</c:v>
                  </c:pt>
                  <c:pt idx="3">
                    <c:v>275%</c:v>
                  </c:pt>
                  <c:pt idx="4">
                    <c:v>151%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9266288"/>
        <c:axId val="1079255952"/>
      </c:barChart>
      <c:catAx>
        <c:axId val="107926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5952"/>
        <c:crosses val="autoZero"/>
        <c:auto val="1"/>
        <c:lblAlgn val="ctr"/>
        <c:lblOffset val="100"/>
        <c:noMultiLvlLbl val="0"/>
      </c:catAx>
      <c:valAx>
        <c:axId val="107925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Algarrobo (secano): </a:t>
            </a:r>
            <a:r>
              <a:rPr lang="es-ES"/>
              <a:t>RSU REGEPA 2019 vs 2020</a:t>
            </a:r>
          </a:p>
        </c:rich>
      </c:tx>
      <c:layout>
        <c:manualLayout>
          <c:xMode val="edge"/>
          <c:yMode val="edge"/>
          <c:x val="0.17041034896615007"/>
          <c:y val="2.7777719838000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772030947028235"/>
          <c:y val="0.16375275938189846"/>
          <c:w val="0.75305836611563248"/>
          <c:h val="0.5701173280492255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'ALG-REPR'!$Q$8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'ALG-REPR'!$P$9:$P$13</c:f>
              <c:strCache>
                <c:ptCount val="5"/>
                <c:pt idx="0">
                  <c:v>C. VALENCIANA</c:v>
                </c:pt>
                <c:pt idx="1">
                  <c:v>CATALUÑA</c:v>
                </c:pt>
                <c:pt idx="2">
                  <c:v>ISLAS BALEARES</c:v>
                </c:pt>
                <c:pt idx="3">
                  <c:v>ANDALUCÍA</c:v>
                </c:pt>
                <c:pt idx="4">
                  <c:v>MURCIA</c:v>
                </c:pt>
              </c:strCache>
            </c:strRef>
          </c:cat>
          <c:val>
            <c:numRef>
              <c:f>'ALG-REPR'!$Q$9:$Q$13</c:f>
              <c:numCache>
                <c:formatCode>#,##0</c:formatCode>
                <c:ptCount val="5"/>
                <c:pt idx="0">
                  <c:v>6139.2899999999991</c:v>
                </c:pt>
                <c:pt idx="1">
                  <c:v>3744.77</c:v>
                </c:pt>
                <c:pt idx="2">
                  <c:v>1624.22</c:v>
                </c:pt>
                <c:pt idx="3">
                  <c:v>974.32</c:v>
                </c:pt>
                <c:pt idx="4">
                  <c:v>712.7600000000001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E6-460C-A92B-00A5E0C8FC10}"/>
            </c:ext>
          </c:extLst>
        </c:ser>
        <c:ser>
          <c:idx val="0"/>
          <c:order val="1"/>
          <c:tx>
            <c:v>RSU REGEPA 2020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58937738-8F8D-4005-9FB9-D75B5CD20A0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199063-582A-4513-8DB0-9D0B27146A81}" type="CELLRANGE">
                      <a:rPr lang="es-E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96627AD-04B3-4792-BB55-9A43D37A92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00BD0F2-99B5-4BBA-9217-7145A77E839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89FE653-35BD-439D-B5EF-16D4BD1D2EE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'ALG-REPR'!$P$9:$P$13</c:f>
              <c:strCache>
                <c:ptCount val="5"/>
                <c:pt idx="0">
                  <c:v>C. VALENCIANA</c:v>
                </c:pt>
                <c:pt idx="1">
                  <c:v>CATALUÑA</c:v>
                </c:pt>
                <c:pt idx="2">
                  <c:v>ISLAS BALEARES</c:v>
                </c:pt>
                <c:pt idx="3">
                  <c:v>ANDALUCÍA</c:v>
                </c:pt>
                <c:pt idx="4">
                  <c:v>MURCIA</c:v>
                </c:pt>
              </c:strCache>
            </c:strRef>
          </c:cat>
          <c:val>
            <c:numRef>
              <c:f>'ALG-REPR'!$R$9:$R$13</c:f>
              <c:numCache>
                <c:formatCode>#,##0</c:formatCode>
                <c:ptCount val="5"/>
                <c:pt idx="0">
                  <c:v>6962.6600000000026</c:v>
                </c:pt>
                <c:pt idx="1">
                  <c:v>3616.1200000000008</c:v>
                </c:pt>
                <c:pt idx="2">
                  <c:v>2038.2100000000003</c:v>
                </c:pt>
                <c:pt idx="3">
                  <c:v>1015.86</c:v>
                </c:pt>
                <c:pt idx="4">
                  <c:v>734.82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E6-460C-A92B-00A5E0C8FC10}"/>
            </c:ext>
            <c:ext xmlns:c15="http://schemas.microsoft.com/office/drawing/2012/chart" uri="{02D57815-91ED-43cb-92C2-25804820EDAC}">
              <c15:datalabelsRange>
                <c15:f>'ALG-REPR'!$S$9:$S$13</c15:f>
                <c15:dlblRangeCache>
                  <c:ptCount val="5"/>
                  <c:pt idx="0">
                    <c:v>13,4%</c:v>
                  </c:pt>
                  <c:pt idx="1">
                    <c:v>-3,4%</c:v>
                  </c:pt>
                  <c:pt idx="2">
                    <c:v>25,5%</c:v>
                  </c:pt>
                  <c:pt idx="3">
                    <c:v>4,3%</c:v>
                  </c:pt>
                  <c:pt idx="4">
                    <c:v>3,1%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259760"/>
        <c:axId val="1079256496"/>
      </c:barChart>
      <c:catAx>
        <c:axId val="1079259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6496"/>
        <c:crosses val="autoZero"/>
        <c:auto val="1"/>
        <c:lblAlgn val="ctr"/>
        <c:lblOffset val="100"/>
        <c:noMultiLvlLbl val="0"/>
      </c:catAx>
      <c:valAx>
        <c:axId val="1079256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47932523062610166"/>
              <c:y val="0.81421564026351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Frutos secos (secano):</a:t>
            </a:r>
            <a:r>
              <a:rPr lang="es-ES" baseline="0"/>
              <a:t> Representatividad 2019 vs 2020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Representatividad 2019</c:v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cat>
            <c:strRef>
              <c:f>('Frutos secos TOTAL'!$B$78,'Frutos secos TOTAL'!$B$87,'Frutos secos TOTAL'!$B$93,'Frutos secos TOTAL'!$B$97,'Frutos secos TOTAL'!$B$102,'Frutos secos TOTAL'!$B$120,'Frutos secos TOTAL'!$B$137)</c:f>
              <c:strCache>
                <c:ptCount val="7"/>
                <c:pt idx="0">
                  <c:v>ANDALUCÍA</c:v>
                </c:pt>
                <c:pt idx="1">
                  <c:v>ARAGÓN</c:v>
                </c:pt>
                <c:pt idx="2">
                  <c:v>C. VALENCIANA</c:v>
                </c:pt>
                <c:pt idx="3">
                  <c:v>CATALUÑA</c:v>
                </c:pt>
                <c:pt idx="4">
                  <c:v>C.-LA MANCHA</c:v>
                </c:pt>
                <c:pt idx="5">
                  <c:v>EXTREMADURA</c:v>
                </c:pt>
                <c:pt idx="6">
                  <c:v>MURCIA</c:v>
                </c:pt>
              </c:strCache>
            </c:strRef>
          </c:cat>
          <c:val>
            <c:numRef>
              <c:f>('Frutos secos TOTAL'!$G$78,'Frutos secos TOTAL'!$G$87,'Frutos secos TOTAL'!$G$93,'Frutos secos TOTAL'!$G$97,'Frutos secos TOTAL'!$G$102,'Frutos secos TOTAL'!$G$120,'Frutos secos TOTAL'!$G$137)</c:f>
              <c:numCache>
                <c:formatCode>0%</c:formatCode>
                <c:ptCount val="7"/>
                <c:pt idx="0">
                  <c:v>0.73809750311897959</c:v>
                </c:pt>
                <c:pt idx="1">
                  <c:v>0.93423606224738598</c:v>
                </c:pt>
                <c:pt idx="2">
                  <c:v>0.61545979056594025</c:v>
                </c:pt>
                <c:pt idx="3">
                  <c:v>0.77410935804974856</c:v>
                </c:pt>
                <c:pt idx="4">
                  <c:v>1.0359548891108084</c:v>
                </c:pt>
                <c:pt idx="5">
                  <c:v>1.0559022988505748</c:v>
                </c:pt>
                <c:pt idx="6">
                  <c:v>0.94327786026839833</c:v>
                </c:pt>
              </c:numCache>
            </c:numRef>
          </c:val>
        </c:ser>
        <c:ser>
          <c:idx val="1"/>
          <c:order val="1"/>
          <c:tx>
            <c:v>Representatividad 2020</c:v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('Frutos secos TOTAL'!$B$78,'Frutos secos TOTAL'!$B$87,'Frutos secos TOTAL'!$B$93,'Frutos secos TOTAL'!$B$97,'Frutos secos TOTAL'!$B$102,'Frutos secos TOTAL'!$B$120,'Frutos secos TOTAL'!$B$137)</c:f>
              <c:strCache>
                <c:ptCount val="7"/>
                <c:pt idx="0">
                  <c:v>ANDALUCÍA</c:v>
                </c:pt>
                <c:pt idx="1">
                  <c:v>ARAGÓN</c:v>
                </c:pt>
                <c:pt idx="2">
                  <c:v>C. VALENCIANA</c:v>
                </c:pt>
                <c:pt idx="3">
                  <c:v>CATALUÑA</c:v>
                </c:pt>
                <c:pt idx="4">
                  <c:v>C.-LA MANCHA</c:v>
                </c:pt>
                <c:pt idx="5">
                  <c:v>EXTREMADURA</c:v>
                </c:pt>
                <c:pt idx="6">
                  <c:v>MURCIA</c:v>
                </c:pt>
              </c:strCache>
            </c:strRef>
          </c:cat>
          <c:val>
            <c:numRef>
              <c:f>('Frutos secos TOTAL'!$H$78,'Frutos secos TOTAL'!$H$87,'Frutos secos TOTAL'!$H$93,'Frutos secos TOTAL'!$H$97,'Frutos secos TOTAL'!$H$102,'Frutos secos TOTAL'!$H$120,'Frutos secos TOTAL'!$H$137)</c:f>
              <c:numCache>
                <c:formatCode>0%</c:formatCode>
                <c:ptCount val="7"/>
                <c:pt idx="0">
                  <c:v>0.73065425805633111</c:v>
                </c:pt>
                <c:pt idx="1">
                  <c:v>0.92553512854956044</c:v>
                </c:pt>
                <c:pt idx="2">
                  <c:v>0.63506839687877781</c:v>
                </c:pt>
                <c:pt idx="3">
                  <c:v>0.76782920485778383</c:v>
                </c:pt>
                <c:pt idx="4">
                  <c:v>1.0418364274535197</c:v>
                </c:pt>
                <c:pt idx="5">
                  <c:v>0.98647788565264294</c:v>
                </c:pt>
                <c:pt idx="6">
                  <c:v>0.96193454032333114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218832"/>
        <c:axId val="970228080"/>
        <c:axId val="0"/>
      </c:bar3DChart>
      <c:catAx>
        <c:axId val="97021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8080"/>
        <c:crosses val="autoZero"/>
        <c:auto val="1"/>
        <c:lblAlgn val="ctr"/>
        <c:lblOffset val="100"/>
        <c:noMultiLvlLbl val="0"/>
      </c:catAx>
      <c:valAx>
        <c:axId val="97022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1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Algarrobo (regadío): </a:t>
            </a:r>
            <a:r>
              <a:rPr lang="es-ES"/>
              <a:t>RSU REGEPA 2019 vs 2020</a:t>
            </a:r>
          </a:p>
        </c:rich>
      </c:tx>
      <c:layout>
        <c:manualLayout>
          <c:xMode val="edge"/>
          <c:yMode val="edge"/>
          <c:x val="0.14066019417475728"/>
          <c:y val="2.2522522522522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658912864899521"/>
          <c:y val="0.16878270762229808"/>
          <c:w val="0.77819458636372751"/>
          <c:h val="0.5622978868255802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'ALG-REPR'!$Q$40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'ALG-REPR'!$K$41:$K$45</c:f>
              <c:strCache>
                <c:ptCount val="5"/>
                <c:pt idx="0">
                  <c:v>C. VALENCIANA</c:v>
                </c:pt>
                <c:pt idx="1">
                  <c:v>CATALUÑA</c:v>
                </c:pt>
                <c:pt idx="2">
                  <c:v>ISLAS BALEARES</c:v>
                </c:pt>
                <c:pt idx="3">
                  <c:v>ANDALUCÍA</c:v>
                </c:pt>
                <c:pt idx="4">
                  <c:v>MURCIA</c:v>
                </c:pt>
              </c:strCache>
            </c:strRef>
          </c:cat>
          <c:val>
            <c:numRef>
              <c:f>'ALG-REPR'!$Q$41:$Q$45</c:f>
              <c:numCache>
                <c:formatCode>#,##0</c:formatCode>
                <c:ptCount val="5"/>
                <c:pt idx="0">
                  <c:v>85.75</c:v>
                </c:pt>
                <c:pt idx="1">
                  <c:v>415.03</c:v>
                </c:pt>
                <c:pt idx="2">
                  <c:v>14.56</c:v>
                </c:pt>
                <c:pt idx="3">
                  <c:v>105.4</c:v>
                </c:pt>
                <c:pt idx="4">
                  <c:v>74.97999999999999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3A-4A46-94DD-1ADCEF890BF5}"/>
            </c:ext>
          </c:extLst>
        </c:ser>
        <c:ser>
          <c:idx val="0"/>
          <c:order val="1"/>
          <c:tx>
            <c:strRef>
              <c:f>'ALG-REPR'!$R$40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28295DB-12B0-4D3C-9C87-0F121AEA4DB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DDE9832-2269-493B-B998-C78C92566EC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4513CEB-C0E1-4467-96D7-2C0CED3524D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761A23-45D4-4763-A0AC-4CA23818D85B}" type="CELLRANGE">
                      <a:rPr lang="es-E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2C4B6D2-381B-4A99-AF61-9F51667F084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'ALG-REPR'!$K$41:$K$45</c:f>
              <c:strCache>
                <c:ptCount val="5"/>
                <c:pt idx="0">
                  <c:v>C. VALENCIANA</c:v>
                </c:pt>
                <c:pt idx="1">
                  <c:v>CATALUÑA</c:v>
                </c:pt>
                <c:pt idx="2">
                  <c:v>ISLAS BALEARES</c:v>
                </c:pt>
                <c:pt idx="3">
                  <c:v>ANDALUCÍA</c:v>
                </c:pt>
                <c:pt idx="4">
                  <c:v>MURCIA</c:v>
                </c:pt>
              </c:strCache>
            </c:strRef>
          </c:cat>
          <c:val>
            <c:numRef>
              <c:f>'ALG-REPR'!$R$41:$R$45</c:f>
              <c:numCache>
                <c:formatCode>#,##0</c:formatCode>
                <c:ptCount val="5"/>
                <c:pt idx="0">
                  <c:v>98.739999999999966</c:v>
                </c:pt>
                <c:pt idx="1">
                  <c:v>420.49000000000007</c:v>
                </c:pt>
                <c:pt idx="2">
                  <c:v>17.899999999999999</c:v>
                </c:pt>
                <c:pt idx="3">
                  <c:v>100.14</c:v>
                </c:pt>
                <c:pt idx="4">
                  <c:v>78.29000000000002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3A-4A46-94DD-1ADCEF890BF5}"/>
            </c:ext>
            <c:ext xmlns:c15="http://schemas.microsoft.com/office/drawing/2012/chart" uri="{02D57815-91ED-43cb-92C2-25804820EDAC}">
              <c15:datalabelsRange>
                <c15:f>'ALG-REPR'!$S$41:$S$45</c15:f>
                <c15:dlblRangeCache>
                  <c:ptCount val="5"/>
                  <c:pt idx="0">
                    <c:v>15%</c:v>
                  </c:pt>
                  <c:pt idx="1">
                    <c:v>1%</c:v>
                  </c:pt>
                  <c:pt idx="2">
                    <c:v>23%</c:v>
                  </c:pt>
                  <c:pt idx="3">
                    <c:v>-5%</c:v>
                  </c:pt>
                  <c:pt idx="4">
                    <c:v>4%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261392"/>
        <c:axId val="1079269008"/>
      </c:barChart>
      <c:catAx>
        <c:axId val="1079261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9008"/>
        <c:crosses val="autoZero"/>
        <c:auto val="1"/>
        <c:lblAlgn val="ctr"/>
        <c:lblOffset val="100"/>
        <c:noMultiLvlLbl val="0"/>
      </c:catAx>
      <c:valAx>
        <c:axId val="1079269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Castaño: </a:t>
            </a:r>
            <a:r>
              <a:rPr lang="es-ES"/>
              <a:t>RSU REGEPA 2020 vs ESYRCE 2020</a:t>
            </a:r>
          </a:p>
        </c:rich>
      </c:tx>
      <c:layout>
        <c:manualLayout>
          <c:xMode val="edge"/>
          <c:yMode val="edge"/>
          <c:x val="0.1704103140953534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SUP. ANUAL 2020</c:v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'CAS-REPR'!$K$8:$K$11</c:f>
              <c:strCache>
                <c:ptCount val="4"/>
                <c:pt idx="0">
                  <c:v>GALICIA</c:v>
                </c:pt>
                <c:pt idx="1">
                  <c:v>ANDALUCÍA</c:v>
                </c:pt>
                <c:pt idx="2">
                  <c:v>EXTREMADURA</c:v>
                </c:pt>
                <c:pt idx="3">
                  <c:v>C. Y LEÓN</c:v>
                </c:pt>
              </c:strCache>
            </c:strRef>
          </c:cat>
          <c:val>
            <c:numRef>
              <c:f>'CAS-REPR'!$M$8:$M$11</c:f>
              <c:numCache>
                <c:formatCode>#,##0</c:formatCode>
                <c:ptCount val="4"/>
                <c:pt idx="0">
                  <c:v>24990</c:v>
                </c:pt>
                <c:pt idx="1">
                  <c:v>8891</c:v>
                </c:pt>
                <c:pt idx="2">
                  <c:v>2949</c:v>
                </c:pt>
                <c:pt idx="3">
                  <c:v>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E6-460C-A92B-00A5E0C8FC10}"/>
            </c:ext>
          </c:extLst>
        </c:ser>
        <c:ser>
          <c:idx val="0"/>
          <c:order val="1"/>
          <c:tx>
            <c:v>RSU REGEPA 2020</c:v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D9435C8-FC67-4172-BDCF-E92F3B98642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667236E-8ACC-4609-8FDC-1F4C4898B57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1801FAB-60E3-4ADD-98EE-1D12A1FA528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2733D78-61D1-46B9-9F60-B9916F4555E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'CAS-REPR'!$K$8:$K$11</c:f>
              <c:strCache>
                <c:ptCount val="4"/>
                <c:pt idx="0">
                  <c:v>GALICIA</c:v>
                </c:pt>
                <c:pt idx="1">
                  <c:v>ANDALUCÍA</c:v>
                </c:pt>
                <c:pt idx="2">
                  <c:v>EXTREMADURA</c:v>
                </c:pt>
                <c:pt idx="3">
                  <c:v>C. Y LEÓN</c:v>
                </c:pt>
              </c:strCache>
            </c:strRef>
          </c:cat>
          <c:val>
            <c:numRef>
              <c:f>'CAS-REPR'!$L$8:$L$11</c:f>
              <c:numCache>
                <c:formatCode>#,##0</c:formatCode>
                <c:ptCount val="4"/>
                <c:pt idx="0">
                  <c:v>2410.4899999999998</c:v>
                </c:pt>
                <c:pt idx="1">
                  <c:v>3814.6200000000003</c:v>
                </c:pt>
                <c:pt idx="2">
                  <c:v>3167.6299999999997</c:v>
                </c:pt>
                <c:pt idx="3">
                  <c:v>257.86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E6-460C-A92B-00A5E0C8FC10}"/>
            </c:ext>
            <c:ext xmlns:c15="http://schemas.microsoft.com/office/drawing/2012/chart" uri="{02D57815-91ED-43cb-92C2-25804820EDAC}">
              <c15:datalabelsRange>
                <c15:f>'CAS-REPR'!$N$8:$N$11</c15:f>
                <c15:dlblRangeCache>
                  <c:ptCount val="4"/>
                  <c:pt idx="0">
                    <c:v>10%</c:v>
                  </c:pt>
                  <c:pt idx="1">
                    <c:v>43%</c:v>
                  </c:pt>
                  <c:pt idx="2">
                    <c:v>107%</c:v>
                  </c:pt>
                  <c:pt idx="3">
                    <c:v>32%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257040"/>
        <c:axId val="1079264112"/>
      </c:barChart>
      <c:catAx>
        <c:axId val="107925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4112"/>
        <c:crosses val="autoZero"/>
        <c:auto val="1"/>
        <c:lblAlgn val="ctr"/>
        <c:lblOffset val="100"/>
        <c:noMultiLvlLbl val="0"/>
      </c:catAx>
      <c:valAx>
        <c:axId val="10792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1.7593463543434381E-2"/>
              <c:y val="0.35943185558396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Castaño:</a:t>
            </a:r>
            <a:r>
              <a:rPr lang="es-ES" b="1" baseline="0"/>
              <a:t> </a:t>
            </a:r>
            <a:r>
              <a:rPr lang="es-ES"/>
              <a:t>RSU REGEPA 2019 vs 2020</a:t>
            </a:r>
          </a:p>
        </c:rich>
      </c:tx>
      <c:layout>
        <c:manualLayout>
          <c:xMode val="edge"/>
          <c:yMode val="edge"/>
          <c:x val="0.2665064434513254"/>
          <c:y val="2.7777653067532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129393960890027"/>
          <c:y val="0.16375275938189846"/>
          <c:w val="0.779484807642288"/>
          <c:h val="0.5920470396301147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'CAS-REPR'!$Q$7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'CAS-REPR'!$P$8:$P$11</c:f>
              <c:strCache>
                <c:ptCount val="4"/>
                <c:pt idx="0">
                  <c:v>GALICIA</c:v>
                </c:pt>
                <c:pt idx="1">
                  <c:v>ANDALUCÍA</c:v>
                </c:pt>
                <c:pt idx="2">
                  <c:v>EXTREMADURA</c:v>
                </c:pt>
                <c:pt idx="3">
                  <c:v>C. Y LEÓN</c:v>
                </c:pt>
              </c:strCache>
            </c:strRef>
          </c:cat>
          <c:val>
            <c:numRef>
              <c:f>'CAS-REPR'!$Q$8:$Q$11</c:f>
              <c:numCache>
                <c:formatCode>#,##0</c:formatCode>
                <c:ptCount val="4"/>
                <c:pt idx="0">
                  <c:v>2521.9999999999991</c:v>
                </c:pt>
                <c:pt idx="1">
                  <c:v>3689.4600000000009</c:v>
                </c:pt>
                <c:pt idx="2">
                  <c:v>2643.5700000000006</c:v>
                </c:pt>
                <c:pt idx="3">
                  <c:v>234.53999999999996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E6-460C-A92B-00A5E0C8FC10}"/>
            </c:ext>
          </c:extLst>
        </c:ser>
        <c:ser>
          <c:idx val="0"/>
          <c:order val="1"/>
          <c:tx>
            <c:v>RSU REGEPA 2020</c:v>
          </c:tx>
          <c:spPr>
            <a:solidFill>
              <a:srgbClr val="663300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04AD7B-32EA-424F-8973-1DDBCE89D528}" type="CELLRANGE">
                      <a:rPr lang="en-U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631113A-9AB9-433F-8FAA-E421160D7E5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210F17C-A990-4F93-86AC-4DB301179F3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FFEAACA-6C4F-49CB-BE7F-4F05EF9C207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'CAS-REPR'!$P$8:$P$11</c:f>
              <c:strCache>
                <c:ptCount val="4"/>
                <c:pt idx="0">
                  <c:v>GALICIA</c:v>
                </c:pt>
                <c:pt idx="1">
                  <c:v>ANDALUCÍA</c:v>
                </c:pt>
                <c:pt idx="2">
                  <c:v>EXTREMADURA</c:v>
                </c:pt>
                <c:pt idx="3">
                  <c:v>C. Y LEÓN</c:v>
                </c:pt>
              </c:strCache>
            </c:strRef>
          </c:cat>
          <c:val>
            <c:numRef>
              <c:f>'CAS-REPR'!$R$8:$R$11</c:f>
              <c:numCache>
                <c:formatCode>#,##0</c:formatCode>
                <c:ptCount val="4"/>
                <c:pt idx="0">
                  <c:v>2410.4899999999998</c:v>
                </c:pt>
                <c:pt idx="1">
                  <c:v>3814.6200000000003</c:v>
                </c:pt>
                <c:pt idx="2">
                  <c:v>3167.6299999999997</c:v>
                </c:pt>
                <c:pt idx="3">
                  <c:v>257.86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E6-460C-A92B-00A5E0C8FC10}"/>
            </c:ext>
            <c:ext xmlns:c15="http://schemas.microsoft.com/office/drawing/2012/chart" uri="{02D57815-91ED-43cb-92C2-25804820EDAC}">
              <c15:datalabelsRange>
                <c15:f>'CAS-REPR'!$S$8:$S$11</c15:f>
                <c15:dlblRangeCache>
                  <c:ptCount val="4"/>
                  <c:pt idx="0">
                    <c:v>-4%</c:v>
                  </c:pt>
                  <c:pt idx="1">
                    <c:v>3%</c:v>
                  </c:pt>
                  <c:pt idx="2">
                    <c:v>20%</c:v>
                  </c:pt>
                  <c:pt idx="3">
                    <c:v>10%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254864"/>
        <c:axId val="1079260848"/>
      </c:barChart>
      <c:catAx>
        <c:axId val="1079254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0848"/>
        <c:crosses val="autoZero"/>
        <c:auto val="1"/>
        <c:lblAlgn val="ctr"/>
        <c:lblOffset val="100"/>
        <c:noMultiLvlLbl val="0"/>
      </c:catAx>
      <c:valAx>
        <c:axId val="107926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Superficie</a:t>
                </a:r>
              </a:p>
            </c:rich>
          </c:tx>
          <c:layout>
            <c:manualLayout>
              <c:xMode val="edge"/>
              <c:yMode val="edge"/>
              <c:x val="0.4288747960558984"/>
              <c:y val="0.831759624340508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37021588517651"/>
          <c:y val="0.91801874636733449"/>
          <c:w val="0.51259549313092623"/>
          <c:h val="8.19812536326655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Nogal (secano): </a:t>
            </a:r>
            <a:r>
              <a:rPr lang="es-ES"/>
              <a:t>RSU REGEPA 2020 vs ESYRCE 2020</a:t>
            </a:r>
          </a:p>
        </c:rich>
      </c:tx>
      <c:layout>
        <c:manualLayout>
          <c:xMode val="edge"/>
          <c:yMode val="edge"/>
          <c:x val="0.1704103140953534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52807727187666"/>
          <c:y val="0.17359176256814052"/>
          <c:w val="0.83700624259261924"/>
          <c:h val="0.52258462884447132"/>
        </c:manualLayout>
      </c:layout>
      <c:barChart>
        <c:barDir val="col"/>
        <c:grouping val="clustered"/>
        <c:varyColors val="0"/>
        <c:ser>
          <c:idx val="1"/>
          <c:order val="0"/>
          <c:tx>
            <c:v>SUP. ANUAL 2020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'NOG-REPR'!$K$8:$K$14</c:f>
              <c:strCache>
                <c:ptCount val="7"/>
                <c:pt idx="0">
                  <c:v>EXTREMADURA</c:v>
                </c:pt>
                <c:pt idx="1">
                  <c:v>C.-LA MANCHA</c:v>
                </c:pt>
                <c:pt idx="2">
                  <c:v>ANDALUCÍA</c:v>
                </c:pt>
                <c:pt idx="3">
                  <c:v>CATALUÑA</c:v>
                </c:pt>
                <c:pt idx="4">
                  <c:v>ARAGÓN</c:v>
                </c:pt>
                <c:pt idx="5">
                  <c:v>C. VALENCIANA</c:v>
                </c:pt>
                <c:pt idx="6">
                  <c:v>C. Y LEÓN</c:v>
                </c:pt>
              </c:strCache>
            </c:strRef>
          </c:cat>
          <c:val>
            <c:numRef>
              <c:f>'NOG-REPR'!$M$8:$M$14</c:f>
              <c:numCache>
                <c:formatCode>#,##0</c:formatCode>
                <c:ptCount val="7"/>
                <c:pt idx="0">
                  <c:v>2335</c:v>
                </c:pt>
                <c:pt idx="1">
                  <c:v>1740</c:v>
                </c:pt>
                <c:pt idx="2">
                  <c:v>2382</c:v>
                </c:pt>
                <c:pt idx="3">
                  <c:v>1139</c:v>
                </c:pt>
                <c:pt idx="4">
                  <c:v>1067</c:v>
                </c:pt>
                <c:pt idx="5">
                  <c:v>1144</c:v>
                </c:pt>
                <c:pt idx="6">
                  <c:v>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E6-460C-A92B-00A5E0C8FC10}"/>
            </c:ext>
          </c:extLst>
        </c:ser>
        <c:ser>
          <c:idx val="0"/>
          <c:order val="1"/>
          <c:tx>
            <c:v>RSU REGEPA 2020</c:v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DA384EA-4A6D-44B2-8C35-1C95F40A5BE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40A507B-6E3D-4196-AA0C-139D04E0A94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0B112B0-432E-4F4E-A5FC-45F42665228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6EFCB8B-3754-4F8F-B8EE-4C0CF9EF1A6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B0D0ABD-DAD4-41BC-983E-06A9BBE5553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04B0823C-3D43-4FF8-BAA4-C274D825B78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0748E14B-9965-47FB-AD36-1B383BB9ACA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'NOG-REPR'!$K$8:$K$14</c:f>
              <c:strCache>
                <c:ptCount val="7"/>
                <c:pt idx="0">
                  <c:v>EXTREMADURA</c:v>
                </c:pt>
                <c:pt idx="1">
                  <c:v>C.-LA MANCHA</c:v>
                </c:pt>
                <c:pt idx="2">
                  <c:v>ANDALUCÍA</c:v>
                </c:pt>
                <c:pt idx="3">
                  <c:v>CATALUÑA</c:v>
                </c:pt>
                <c:pt idx="4">
                  <c:v>ARAGÓN</c:v>
                </c:pt>
                <c:pt idx="5">
                  <c:v>C. VALENCIANA</c:v>
                </c:pt>
                <c:pt idx="6">
                  <c:v>C. Y LEÓN</c:v>
                </c:pt>
              </c:strCache>
            </c:strRef>
          </c:cat>
          <c:val>
            <c:numRef>
              <c:f>'NOG-REPR'!$L$8:$L$14</c:f>
              <c:numCache>
                <c:formatCode>#,##0</c:formatCode>
                <c:ptCount val="7"/>
                <c:pt idx="0">
                  <c:v>2366.79</c:v>
                </c:pt>
                <c:pt idx="1">
                  <c:v>1762.77</c:v>
                </c:pt>
                <c:pt idx="2">
                  <c:v>1332.3400000000001</c:v>
                </c:pt>
                <c:pt idx="3">
                  <c:v>1177.9599999999998</c:v>
                </c:pt>
                <c:pt idx="4">
                  <c:v>1095.4599999999998</c:v>
                </c:pt>
                <c:pt idx="5">
                  <c:v>719.19</c:v>
                </c:pt>
                <c:pt idx="6">
                  <c:v>522.12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E6-460C-A92B-00A5E0C8FC10}"/>
            </c:ext>
            <c:ext xmlns:c15="http://schemas.microsoft.com/office/drawing/2012/chart" uri="{02D57815-91ED-43cb-92C2-25804820EDAC}">
              <c15:datalabelsRange>
                <c15:f>'NOG-REPR'!$N$8:$N$14</c15:f>
                <c15:dlblRangeCache>
                  <c:ptCount val="7"/>
                  <c:pt idx="0">
                    <c:v>101%</c:v>
                  </c:pt>
                  <c:pt idx="1">
                    <c:v>101%</c:v>
                  </c:pt>
                  <c:pt idx="2">
                    <c:v>56%</c:v>
                  </c:pt>
                  <c:pt idx="3">
                    <c:v>103%</c:v>
                  </c:pt>
                  <c:pt idx="4">
                    <c:v>103%</c:v>
                  </c:pt>
                  <c:pt idx="5">
                    <c:v>63%</c:v>
                  </c:pt>
                  <c:pt idx="6">
                    <c:v>72%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266832"/>
        <c:axId val="1079262480"/>
      </c:barChart>
      <c:catAx>
        <c:axId val="107926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2480"/>
        <c:crosses val="autoZero"/>
        <c:auto val="1"/>
        <c:lblAlgn val="ctr"/>
        <c:lblOffset val="100"/>
        <c:noMultiLvlLbl val="0"/>
      </c:catAx>
      <c:valAx>
        <c:axId val="107926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1.4713517300282622E-2"/>
              <c:y val="0.360578437310720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605001621988261"/>
          <c:y val="0.92113193129339843"/>
          <c:w val="0.52789996756023472"/>
          <c:h val="7.88680687066015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Castaño:</a:t>
            </a:r>
            <a:r>
              <a:rPr lang="es-ES" b="1" baseline="0"/>
              <a:t> </a:t>
            </a:r>
            <a:r>
              <a:rPr lang="es-ES"/>
              <a:t>RSU REGEPA 2019 vs 2020</a:t>
            </a:r>
          </a:p>
        </c:rich>
      </c:tx>
      <c:layout>
        <c:manualLayout>
          <c:xMode val="edge"/>
          <c:yMode val="edge"/>
          <c:x val="0.2665064434513254"/>
          <c:y val="2.7777653067532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129393960890027"/>
          <c:y val="0.16375275938189846"/>
          <c:w val="0.779484807642288"/>
          <c:h val="0.5920470396301147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'NOG-REPR'!$Q$7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'NOG-REPR'!$P$8:$P$14</c:f>
              <c:strCache>
                <c:ptCount val="7"/>
                <c:pt idx="0">
                  <c:v>EXTREMADURA</c:v>
                </c:pt>
                <c:pt idx="1">
                  <c:v>C.-LA MANCHA</c:v>
                </c:pt>
                <c:pt idx="2">
                  <c:v>ANDALUCÍA</c:v>
                </c:pt>
                <c:pt idx="3">
                  <c:v>CATALUÑA</c:v>
                </c:pt>
                <c:pt idx="4">
                  <c:v>ARAGÓN</c:v>
                </c:pt>
                <c:pt idx="5">
                  <c:v>C. VALENCIANA</c:v>
                </c:pt>
                <c:pt idx="6">
                  <c:v>C. Y LEÓN</c:v>
                </c:pt>
              </c:strCache>
            </c:strRef>
          </c:cat>
          <c:val>
            <c:numRef>
              <c:f>'NOG-REPR'!$Q$8:$Q$14</c:f>
              <c:numCache>
                <c:formatCode>#,##0</c:formatCode>
                <c:ptCount val="7"/>
                <c:pt idx="0">
                  <c:v>2350.1700000000005</c:v>
                </c:pt>
                <c:pt idx="1">
                  <c:v>1613.5900000000001</c:v>
                </c:pt>
                <c:pt idx="2">
                  <c:v>1190.6999999999998</c:v>
                </c:pt>
                <c:pt idx="3">
                  <c:v>1162.57</c:v>
                </c:pt>
                <c:pt idx="4">
                  <c:v>903.36999999999978</c:v>
                </c:pt>
                <c:pt idx="5">
                  <c:v>700.24999999999955</c:v>
                </c:pt>
                <c:pt idx="6">
                  <c:v>436.17000000000007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E6-460C-A92B-00A5E0C8FC10}"/>
            </c:ext>
          </c:extLst>
        </c:ser>
        <c:ser>
          <c:idx val="0"/>
          <c:order val="1"/>
          <c:tx>
            <c:v>RSU REGEPA 2020</c:v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5770151-85BB-4B99-8851-FB85DEA5739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937193E-C6A2-40BB-8BA5-583170A2FC2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B708584-FD30-483E-9766-DC928224B63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8138CDB-CAA4-4046-83A0-A6F4CE3E924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1F855224-9ADA-4ECB-A166-37EE6739279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BAE11D0-37DA-4CD2-A281-E141F76F321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7571DA5-7D38-41A4-AF6F-6AF9115AA15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'NOG-REPR'!$P$8:$P$14</c:f>
              <c:strCache>
                <c:ptCount val="7"/>
                <c:pt idx="0">
                  <c:v>EXTREMADURA</c:v>
                </c:pt>
                <c:pt idx="1">
                  <c:v>C.-LA MANCHA</c:v>
                </c:pt>
                <c:pt idx="2">
                  <c:v>ANDALUCÍA</c:v>
                </c:pt>
                <c:pt idx="3">
                  <c:v>CATALUÑA</c:v>
                </c:pt>
                <c:pt idx="4">
                  <c:v>ARAGÓN</c:v>
                </c:pt>
                <c:pt idx="5">
                  <c:v>C. VALENCIANA</c:v>
                </c:pt>
                <c:pt idx="6">
                  <c:v>C. Y LEÓN</c:v>
                </c:pt>
              </c:strCache>
            </c:strRef>
          </c:cat>
          <c:val>
            <c:numRef>
              <c:f>'NOG-REPR'!$R$8:$R$14</c:f>
              <c:numCache>
                <c:formatCode>#,##0</c:formatCode>
                <c:ptCount val="7"/>
                <c:pt idx="0">
                  <c:v>2366.79</c:v>
                </c:pt>
                <c:pt idx="1">
                  <c:v>1762.77</c:v>
                </c:pt>
                <c:pt idx="2">
                  <c:v>1332.3400000000001</c:v>
                </c:pt>
                <c:pt idx="3">
                  <c:v>1177.9599999999998</c:v>
                </c:pt>
                <c:pt idx="4">
                  <c:v>1095.4599999999998</c:v>
                </c:pt>
                <c:pt idx="5">
                  <c:v>719.19</c:v>
                </c:pt>
                <c:pt idx="6">
                  <c:v>522.12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E6-460C-A92B-00A5E0C8FC10}"/>
            </c:ext>
            <c:ext xmlns:c15="http://schemas.microsoft.com/office/drawing/2012/chart" uri="{02D57815-91ED-43cb-92C2-25804820EDAC}">
              <c15:datalabelsRange>
                <c15:f>'NOG-REPR'!$S$8:$S$14</c15:f>
                <c15:dlblRangeCache>
                  <c:ptCount val="7"/>
                  <c:pt idx="0">
                    <c:v>1%</c:v>
                  </c:pt>
                  <c:pt idx="1">
                    <c:v>9%</c:v>
                  </c:pt>
                  <c:pt idx="2">
                    <c:v>12%</c:v>
                  </c:pt>
                  <c:pt idx="3">
                    <c:v>1%</c:v>
                  </c:pt>
                  <c:pt idx="4">
                    <c:v>21%</c:v>
                  </c:pt>
                  <c:pt idx="5">
                    <c:v>3%</c:v>
                  </c:pt>
                  <c:pt idx="6">
                    <c:v>20%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261936"/>
        <c:axId val="1079257584"/>
      </c:barChart>
      <c:catAx>
        <c:axId val="1079261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7584"/>
        <c:crosses val="autoZero"/>
        <c:auto val="1"/>
        <c:lblAlgn val="ctr"/>
        <c:lblOffset val="100"/>
        <c:noMultiLvlLbl val="0"/>
      </c:catAx>
      <c:valAx>
        <c:axId val="107925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4288747960558984"/>
              <c:y val="0.831759624340508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37021588517651"/>
          <c:y val="0.91801874636733449"/>
          <c:w val="0.51259549313092623"/>
          <c:h val="8.19812536326655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Almendro (regadío):</a:t>
            </a:r>
            <a:r>
              <a:rPr lang="es-ES" baseline="0"/>
              <a:t> Sin info de edad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'ALM-EDAD'!$A$135:$A$145</c15:sqref>
                  </c15:fullRef>
                </c:ext>
              </c:extLst>
              <c:f>('ALM-EDAD'!$A$135:$A$136,'ALM-EDAD'!$A$138,'ALM-EDAD'!$A$141:$A$145)</c:f>
              <c:strCache>
                <c:ptCount val="8"/>
                <c:pt idx="0">
                  <c:v>ANDALUCÍA</c:v>
                </c:pt>
                <c:pt idx="1">
                  <c:v>ARAGÓN</c:v>
                </c:pt>
                <c:pt idx="2">
                  <c:v>CATALUÑA</c:v>
                </c:pt>
                <c:pt idx="3">
                  <c:v>EXTREMADURA</c:v>
                </c:pt>
                <c:pt idx="4">
                  <c:v>LA RIOJA</c:v>
                </c:pt>
                <c:pt idx="5">
                  <c:v>MURCIA</c:v>
                </c:pt>
                <c:pt idx="6">
                  <c:v>NAVARRA</c:v>
                </c:pt>
                <c:pt idx="7">
                  <c:v>ESPAÑA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'ALM-EDAD'!$X$135:$X$145</c15:sqref>
                  </c15:fullRef>
                </c:ext>
              </c:extLst>
              <c:f>('ALM-EDAD'!$X$135:$X$136,'ALM-EDAD'!$X$138,'ALM-EDAD'!$X$141:$X$145)</c:f>
              <c:numCache>
                <c:formatCode>0.0%</c:formatCode>
                <c:ptCount val="8"/>
                <c:pt idx="0">
                  <c:v>6.7767584196486499E-4</c:v>
                </c:pt>
                <c:pt idx="1">
                  <c:v>9.4269928364175016E-3</c:v>
                </c:pt>
                <c:pt idx="2" formatCode="0%">
                  <c:v>0</c:v>
                </c:pt>
                <c:pt idx="3" formatCode="0%">
                  <c:v>0</c:v>
                </c:pt>
                <c:pt idx="4">
                  <c:v>6.4744575541799661E-3</c:v>
                </c:pt>
                <c:pt idx="5" formatCode="0.00%">
                  <c:v>2.1969290081446768E-2</c:v>
                </c:pt>
                <c:pt idx="6" formatCode="0.00%">
                  <c:v>1.8355121432997903E-3</c:v>
                </c:pt>
                <c:pt idx="7" formatCode="0.00%">
                  <c:v>4.2609395423114883E-3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63-44EA-96DB-934FF2D60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79263024"/>
        <c:axId val="1079260304"/>
      </c:barChart>
      <c:catAx>
        <c:axId val="1079263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0304"/>
        <c:crosses val="autoZero"/>
        <c:auto val="1"/>
        <c:lblAlgn val="ctr"/>
        <c:lblOffset val="100"/>
        <c:noMultiLvlLbl val="0"/>
      </c:catAx>
      <c:valAx>
        <c:axId val="107926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Almendro (Secano):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Evolución</a:t>
            </a:r>
            <a:r>
              <a:rPr lang="es-ES" baseline="0">
                <a:solidFill>
                  <a:sysClr val="windowText" lastClr="000000"/>
                </a:solidFill>
              </a:rPr>
              <a:t> de la superficie plantada 2000 - 2020</a:t>
            </a:r>
            <a:endParaRPr lang="es-ES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B9661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66DC1A84-D323-4D2B-B12D-5D790A9A73F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A92C3AF-475A-459C-9869-39A4FC3BBA2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360E229-B751-4776-96FD-40242DA7226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E602C41-D1E5-4337-AB06-40BB2752473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72D8AE5-B5FB-493C-9C2F-5028830934D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F9BF32C-3D9E-4B58-B744-BB411C40A11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6F2D645-0000-47DB-8441-267CF71481A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BB02050-53D5-4336-95B5-13D1D70A010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6D3FF8CE-0B9C-435B-BBC0-33A6DFA896F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1ACB1BD5-AA6B-43EA-B140-7D93DAE3C25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278081A-2719-4FB2-B168-33531D26EBB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2380C899-6C29-4215-BD37-C99C83B5560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D51CD3FA-26AF-4A96-B289-6CCC428F951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475B64D8-FD16-41C8-AED6-4BBAD8E4297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3BAA3F90-91ED-43FF-8C55-1C7861DF6ED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4119AE-95BC-48E1-90C7-FA1EE032B962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18755CA-9E15-486B-B310-45A5E09D57CA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86A99F3-C0B1-4781-835C-76E124D54199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1C583C0-A114-4C1A-BA64-540C2D7FA7A4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9B07DBC9-8BD8-4A28-8CF8-DE6E606B372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20DBC4D6-AB03-497C-97A0-1ABA1821E92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'ALM-EDAD'!$C$3:$W$3</c:f>
              <c:numCache>
                <c:formatCode>#,##0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'ALM-EDAD'!$C$58:$W$58</c:f>
              <c:numCache>
                <c:formatCode>#,##0</c:formatCode>
                <c:ptCount val="21"/>
                <c:pt idx="0">
                  <c:v>265558.23999999987</c:v>
                </c:pt>
                <c:pt idx="1">
                  <c:v>268607.68999999989</c:v>
                </c:pt>
                <c:pt idx="2">
                  <c:v>272384.0799999999</c:v>
                </c:pt>
                <c:pt idx="3">
                  <c:v>275598.7699999999</c:v>
                </c:pt>
                <c:pt idx="4">
                  <c:v>281654.36999999988</c:v>
                </c:pt>
                <c:pt idx="5">
                  <c:v>289428.02999999985</c:v>
                </c:pt>
                <c:pt idx="6">
                  <c:v>294061.01999999984</c:v>
                </c:pt>
                <c:pt idx="7">
                  <c:v>301430.28999999986</c:v>
                </c:pt>
                <c:pt idx="8">
                  <c:v>305895.50999999983</c:v>
                </c:pt>
                <c:pt idx="9">
                  <c:v>312131.23999999982</c:v>
                </c:pt>
                <c:pt idx="10">
                  <c:v>319159.88999999984</c:v>
                </c:pt>
                <c:pt idx="11">
                  <c:v>322607.94999999984</c:v>
                </c:pt>
                <c:pt idx="12">
                  <c:v>328029.55999999982</c:v>
                </c:pt>
                <c:pt idx="13">
                  <c:v>334304.06999999983</c:v>
                </c:pt>
                <c:pt idx="14">
                  <c:v>346451.01999999984</c:v>
                </c:pt>
                <c:pt idx="15">
                  <c:v>372114.41999999987</c:v>
                </c:pt>
                <c:pt idx="16">
                  <c:v>403442.80999999988</c:v>
                </c:pt>
                <c:pt idx="17">
                  <c:v>432457.5199999999</c:v>
                </c:pt>
                <c:pt idx="18">
                  <c:v>451490.68999999989</c:v>
                </c:pt>
                <c:pt idx="19">
                  <c:v>470641.59999999986</c:v>
                </c:pt>
                <c:pt idx="20">
                  <c:v>484123.57999999984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'ALM-EDAD'!$C$59:$W$59</c15:f>
                <c15:dlblRangeCache>
                  <c:ptCount val="21"/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2%</c:v>
                  </c:pt>
                  <c:pt idx="5">
                    <c:v>3%</c:v>
                  </c:pt>
                  <c:pt idx="6">
                    <c:v>2%</c:v>
                  </c:pt>
                  <c:pt idx="7">
                    <c:v>3%</c:v>
                  </c:pt>
                  <c:pt idx="8">
                    <c:v>1%</c:v>
                  </c:pt>
                  <c:pt idx="9">
                    <c:v>2%</c:v>
                  </c:pt>
                  <c:pt idx="10">
                    <c:v>2%</c:v>
                  </c:pt>
                  <c:pt idx="11">
                    <c:v>1%</c:v>
                  </c:pt>
                  <c:pt idx="12">
                    <c:v>2%</c:v>
                  </c:pt>
                  <c:pt idx="13">
                    <c:v>2%</c:v>
                  </c:pt>
                  <c:pt idx="14">
                    <c:v>4%</c:v>
                  </c:pt>
                  <c:pt idx="15">
                    <c:v>7%</c:v>
                  </c:pt>
                  <c:pt idx="16">
                    <c:v>8%</c:v>
                  </c:pt>
                  <c:pt idx="17">
                    <c:v>7%</c:v>
                  </c:pt>
                  <c:pt idx="18">
                    <c:v>4%</c:v>
                  </c:pt>
                  <c:pt idx="19">
                    <c:v>4%</c:v>
                  </c:pt>
                  <c:pt idx="20">
                    <c:v>3%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9258672"/>
        <c:axId val="1079267920"/>
      </c:barChart>
      <c:catAx>
        <c:axId val="107925867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7920"/>
        <c:crosses val="autoZero"/>
        <c:auto val="1"/>
        <c:lblAlgn val="ctr"/>
        <c:lblOffset val="100"/>
        <c:noMultiLvlLbl val="0"/>
      </c:catAx>
      <c:valAx>
        <c:axId val="107926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Almendro (Regadío):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Evolución</a:t>
            </a:r>
            <a:r>
              <a:rPr lang="es-ES" baseline="0">
                <a:solidFill>
                  <a:sysClr val="windowText" lastClr="000000"/>
                </a:solidFill>
              </a:rPr>
              <a:t> de la superficie plantada 2000 - 2020</a:t>
            </a:r>
            <a:endParaRPr lang="es-E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63724A-6528-4F42-B668-C830FE67C0A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AEB2FF2-71C7-4E19-B491-32806414BE0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34F5D58-268D-4B5E-9733-7C92DDC8581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087C743-FBB0-420E-8ECA-939403BB6E0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D88252-FF79-48C8-9B10-7323895E48F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4DC8F3-51AA-4D58-B8E3-9511F0EAD7A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0921BD1-4016-4086-8A71-39255499386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0388545-779E-4F6E-AC76-D52268890E2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E537F93-8552-4872-BF9D-10717BB3DB8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D974C08-4C70-4026-B80C-509531A82D2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50D7216-5842-42CE-9C7B-88E193D62BE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C6CB52A-F850-4162-B739-D70DCE49B74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D2CCB68-CFB1-4EB7-8535-C96A1A906CB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CC134FB-F313-4BA7-ACE0-C83557398FD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A7AE4C9-8D41-4183-8B90-1A458DA73543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A847427-7579-46C7-BDD3-82591417E6F2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0880587-39F2-4B36-9DB5-1B84B89E7C6E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466507-AC97-493E-8ACB-6DDD92802A91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4EF55A6-7A2B-4BBF-9DD0-2ADB79AF4D1D}" type="CELLRANGE">
                      <a:rPr lang="es-E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1EC07593-460D-4635-9A96-10555EB79FD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6BDFE6A-ECEC-430B-B87B-CC858BD1C68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'ALM-EDAD'!$C$78:$W$78</c:f>
              <c:numCache>
                <c:formatCode>#,##0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'ALM-EDAD'!$C$130:$W$130</c:f>
              <c:numCache>
                <c:formatCode>#,##0</c:formatCode>
                <c:ptCount val="21"/>
                <c:pt idx="0">
                  <c:v>18047.8</c:v>
                </c:pt>
                <c:pt idx="1">
                  <c:v>18574.469999999998</c:v>
                </c:pt>
                <c:pt idx="2">
                  <c:v>19061.55</c:v>
                </c:pt>
                <c:pt idx="3">
                  <c:v>19667.559999999998</c:v>
                </c:pt>
                <c:pt idx="4">
                  <c:v>20441.839999999997</c:v>
                </c:pt>
                <c:pt idx="5">
                  <c:v>21663.139999999996</c:v>
                </c:pt>
                <c:pt idx="6">
                  <c:v>22652.759999999995</c:v>
                </c:pt>
                <c:pt idx="7">
                  <c:v>23969.349999999995</c:v>
                </c:pt>
                <c:pt idx="8">
                  <c:v>25521.779999999995</c:v>
                </c:pt>
                <c:pt idx="9">
                  <c:v>26763.509999999995</c:v>
                </c:pt>
                <c:pt idx="10">
                  <c:v>28193.089999999997</c:v>
                </c:pt>
                <c:pt idx="11">
                  <c:v>29315.729999999996</c:v>
                </c:pt>
                <c:pt idx="12">
                  <c:v>30801.109999999997</c:v>
                </c:pt>
                <c:pt idx="13">
                  <c:v>32867.939999999995</c:v>
                </c:pt>
                <c:pt idx="14">
                  <c:v>36470.069999999992</c:v>
                </c:pt>
                <c:pt idx="15">
                  <c:v>44777.239999999991</c:v>
                </c:pt>
                <c:pt idx="16">
                  <c:v>58533.30999999999</c:v>
                </c:pt>
                <c:pt idx="17">
                  <c:v>72651.259999999995</c:v>
                </c:pt>
                <c:pt idx="18">
                  <c:v>81245.149999999994</c:v>
                </c:pt>
                <c:pt idx="19">
                  <c:v>89389.659999999989</c:v>
                </c:pt>
                <c:pt idx="20">
                  <c:v>98752.73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'ALM-EDAD'!$C$131:$W$131</c15:f>
                <c15:dlblRangeCache>
                  <c:ptCount val="21"/>
                  <c:pt idx="1">
                    <c:v>3%</c:v>
                  </c:pt>
                  <c:pt idx="2">
                    <c:v>3%</c:v>
                  </c:pt>
                  <c:pt idx="3">
                    <c:v>3%</c:v>
                  </c:pt>
                  <c:pt idx="4">
                    <c:v>4%</c:v>
                  </c:pt>
                  <c:pt idx="5">
                    <c:v>6%</c:v>
                  </c:pt>
                  <c:pt idx="6">
                    <c:v>5%</c:v>
                  </c:pt>
                  <c:pt idx="7">
                    <c:v>6%</c:v>
                  </c:pt>
                  <c:pt idx="8">
                    <c:v>6%</c:v>
                  </c:pt>
                  <c:pt idx="9">
                    <c:v>5%</c:v>
                  </c:pt>
                  <c:pt idx="10">
                    <c:v>5%</c:v>
                  </c:pt>
                  <c:pt idx="11">
                    <c:v>4%</c:v>
                  </c:pt>
                  <c:pt idx="12">
                    <c:v>5%</c:v>
                  </c:pt>
                  <c:pt idx="13">
                    <c:v>7%</c:v>
                  </c:pt>
                  <c:pt idx="14">
                    <c:v>11%</c:v>
                  </c:pt>
                  <c:pt idx="15">
                    <c:v>23%</c:v>
                  </c:pt>
                  <c:pt idx="16">
                    <c:v>31%</c:v>
                  </c:pt>
                  <c:pt idx="17">
                    <c:v>24%</c:v>
                  </c:pt>
                  <c:pt idx="18">
                    <c:v>12%</c:v>
                  </c:pt>
                  <c:pt idx="19">
                    <c:v>10%</c:v>
                  </c:pt>
                  <c:pt idx="20">
                    <c:v>10%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9265200"/>
        <c:axId val="1079255408"/>
      </c:barChart>
      <c:catAx>
        <c:axId val="107926520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5408"/>
        <c:crosses val="autoZero"/>
        <c:auto val="1"/>
        <c:lblAlgn val="ctr"/>
        <c:lblOffset val="100"/>
        <c:noMultiLvlLbl val="0"/>
      </c:catAx>
      <c:valAx>
        <c:axId val="107925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Almendro (Secano):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Plantaciones</a:t>
            </a:r>
            <a:r>
              <a:rPr lang="es-ES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6228974665560914"/>
          <c:y val="2.43902439024390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'ALM-EDAD'!$AO$17</c:f>
              <c:strCache>
                <c:ptCount val="1"/>
                <c:pt idx="0">
                  <c:v>Plantaciones jóvenes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35D5992-E9C2-4DE2-9D1F-7C972067759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5C8C868-CA81-4705-9541-672D7EF2327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9E92466-F3FE-47B4-B03F-DA11098842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CD921E4-E281-481C-971E-BDB02ECEB36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8B2C3ED-B333-4A12-A9A2-0FA852C5480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9CEDE261-E5C8-47C3-A8AE-A23856F740B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'ALM-EDAD'!$AN$18:$AN$23</c:f>
              <c:strCache>
                <c:ptCount val="6"/>
                <c:pt idx="0">
                  <c:v>C.-LA MANCHA</c:v>
                </c:pt>
                <c:pt idx="1">
                  <c:v>ANDALUCÍA</c:v>
                </c:pt>
                <c:pt idx="2">
                  <c:v>MURCIA</c:v>
                </c:pt>
                <c:pt idx="3">
                  <c:v>ARAGÓN</c:v>
                </c:pt>
                <c:pt idx="4">
                  <c:v>C. VALENCIANA</c:v>
                </c:pt>
                <c:pt idx="5">
                  <c:v>CATALUÑA</c:v>
                </c:pt>
              </c:strCache>
            </c:strRef>
          </c:cat>
          <c:val>
            <c:numRef>
              <c:f>'ALM-EDAD'!$AO$18:$AO$23</c:f>
              <c:numCache>
                <c:formatCode>#,##0</c:formatCode>
                <c:ptCount val="6"/>
                <c:pt idx="0">
                  <c:v>35006.15</c:v>
                </c:pt>
                <c:pt idx="1">
                  <c:v>22596.25</c:v>
                </c:pt>
                <c:pt idx="2">
                  <c:v>9149.5099999999984</c:v>
                </c:pt>
                <c:pt idx="3">
                  <c:v>5907.91</c:v>
                </c:pt>
                <c:pt idx="4">
                  <c:v>3321.0399999999995</c:v>
                </c:pt>
                <c:pt idx="5">
                  <c:v>997.71999999999991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'ALM-EDAD'!$AQ$18:$AQ$23</c15:f>
                <c15:dlblRangeCache>
                  <c:ptCount val="6"/>
                  <c:pt idx="0">
                    <c:v>29%</c:v>
                  </c:pt>
                  <c:pt idx="1">
                    <c:v>16%</c:v>
                  </c:pt>
                  <c:pt idx="2">
                    <c:v>13%</c:v>
                  </c:pt>
                  <c:pt idx="3">
                    <c:v>10%</c:v>
                  </c:pt>
                  <c:pt idx="4">
                    <c:v>6%</c:v>
                  </c:pt>
                  <c:pt idx="5">
                    <c:v>4%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'ALM-EDAD'!$AP$17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rgbClr val="663300"/>
                </a:gs>
                <a:gs pos="50000">
                  <a:srgbClr val="996633"/>
                </a:gs>
                <a:gs pos="100000">
                  <a:srgbClr val="D7AE85"/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cat>
            <c:strRef>
              <c:f>'ALM-EDAD'!$AN$18:$AN$23</c:f>
              <c:strCache>
                <c:ptCount val="6"/>
                <c:pt idx="0">
                  <c:v>C.-LA MANCHA</c:v>
                </c:pt>
                <c:pt idx="1">
                  <c:v>ANDALUCÍA</c:v>
                </c:pt>
                <c:pt idx="2">
                  <c:v>MURCIA</c:v>
                </c:pt>
                <c:pt idx="3">
                  <c:v>ARAGÓN</c:v>
                </c:pt>
                <c:pt idx="4">
                  <c:v>C. VALENCIANA</c:v>
                </c:pt>
                <c:pt idx="5">
                  <c:v>CATALUÑA</c:v>
                </c:pt>
              </c:strCache>
            </c:strRef>
          </c:cat>
          <c:val>
            <c:numRef>
              <c:f>'ALM-EDAD'!$AP$18:$AP$23</c:f>
              <c:numCache>
                <c:formatCode>#,##0</c:formatCode>
                <c:ptCount val="6"/>
                <c:pt idx="0">
                  <c:v>122806.68</c:v>
                </c:pt>
                <c:pt idx="1">
                  <c:v>142515.91999999995</c:v>
                </c:pt>
                <c:pt idx="2">
                  <c:v>72261.029999999926</c:v>
                </c:pt>
                <c:pt idx="3">
                  <c:v>58848.249999999956</c:v>
                </c:pt>
                <c:pt idx="4">
                  <c:v>53322.159999999989</c:v>
                </c:pt>
                <c:pt idx="5">
                  <c:v>23269.340000000007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9263568"/>
        <c:axId val="1079264656"/>
      </c:barChart>
      <c:catAx>
        <c:axId val="107926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4656"/>
        <c:crosses val="autoZero"/>
        <c:auto val="1"/>
        <c:lblAlgn val="ctr"/>
        <c:lblOffset val="100"/>
        <c:noMultiLvlLbl val="0"/>
      </c:catAx>
      <c:valAx>
        <c:axId val="107926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Almendro (Regadío):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Plantaciones</a:t>
            </a:r>
            <a:r>
              <a:rPr lang="es-ES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'ALM-EDAD'!$AQ$78</c:f>
              <c:strCache>
                <c:ptCount val="1"/>
                <c:pt idx="0">
                  <c:v>Plantaciones jóvenes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49000">
                  <a:schemeClr val="accent1">
                    <a:lumMod val="40000"/>
                    <a:lumOff val="60000"/>
                  </a:schemeClr>
                </a:gs>
                <a:gs pos="70000">
                  <a:schemeClr val="accent5">
                    <a:lumMod val="60000"/>
                    <a:lumOff val="40000"/>
                  </a:schemeClr>
                </a:gs>
                <a:gs pos="89000">
                  <a:schemeClr val="accent1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64DD3BD-3B42-44DC-9A0D-83DDDEB22C2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45FA6F1-67AE-4572-9F83-B0EAE8C4091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A87879E-7CF6-4786-B989-2963972FFA5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83D6194-C91D-4251-B6DE-1BC8BDFC29C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33B24C1-3842-47A3-AC8C-50635F62ED2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AD578BD-BF89-4825-BCF2-F620403912E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'ALM-EDAD'!$AP$79:$AP$84</c:f>
              <c:strCache>
                <c:ptCount val="6"/>
                <c:pt idx="0">
                  <c:v>ANDALUCÍA</c:v>
                </c:pt>
                <c:pt idx="1">
                  <c:v>ARAGÓN</c:v>
                </c:pt>
                <c:pt idx="2">
                  <c:v>C.-LA MANCHA</c:v>
                </c:pt>
                <c:pt idx="3">
                  <c:v>EXTREMADURA</c:v>
                </c:pt>
                <c:pt idx="4">
                  <c:v>CATALUÑA</c:v>
                </c:pt>
                <c:pt idx="5">
                  <c:v>C. VALENCIANA</c:v>
                </c:pt>
              </c:strCache>
            </c:strRef>
          </c:cat>
          <c:val>
            <c:numRef>
              <c:f>'ALM-EDAD'!$AQ$79:$AQ$84</c:f>
              <c:numCache>
                <c:formatCode>#,##0</c:formatCode>
                <c:ptCount val="6"/>
                <c:pt idx="0">
                  <c:v>7523.93</c:v>
                </c:pt>
                <c:pt idx="1">
                  <c:v>5222.2999999999993</c:v>
                </c:pt>
                <c:pt idx="2">
                  <c:v>4232.5300000000007</c:v>
                </c:pt>
                <c:pt idx="3">
                  <c:v>3230.58</c:v>
                </c:pt>
                <c:pt idx="4">
                  <c:v>2876.09</c:v>
                </c:pt>
                <c:pt idx="5">
                  <c:v>1133.2699999999998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'ALM-EDAD'!$AS$79:$AS$84</c15:f>
                <c15:dlblRangeCache>
                  <c:ptCount val="6"/>
                  <c:pt idx="0">
                    <c:v>30%</c:v>
                  </c:pt>
                  <c:pt idx="1">
                    <c:v>28%</c:v>
                  </c:pt>
                  <c:pt idx="2">
                    <c:v>22%</c:v>
                  </c:pt>
                  <c:pt idx="3">
                    <c:v>47%</c:v>
                  </c:pt>
                  <c:pt idx="4">
                    <c:v>26%</c:v>
                  </c:pt>
                  <c:pt idx="5">
                    <c:v>14%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'ALM-EDAD'!$AR$78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25000">
                  <a:schemeClr val="accent5"/>
                </a:gs>
                <a:gs pos="70000">
                  <a:schemeClr val="accent1">
                    <a:lumMod val="75000"/>
                  </a:schemeClr>
                </a:gs>
                <a:gs pos="0">
                  <a:schemeClr val="accent5">
                    <a:lumMod val="5000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'ALM-EDAD'!$AP$79:$AP$84</c:f>
              <c:strCache>
                <c:ptCount val="6"/>
                <c:pt idx="0">
                  <c:v>ANDALUCÍA</c:v>
                </c:pt>
                <c:pt idx="1">
                  <c:v>ARAGÓN</c:v>
                </c:pt>
                <c:pt idx="2">
                  <c:v>C.-LA MANCHA</c:v>
                </c:pt>
                <c:pt idx="3">
                  <c:v>EXTREMADURA</c:v>
                </c:pt>
                <c:pt idx="4">
                  <c:v>CATALUÑA</c:v>
                </c:pt>
                <c:pt idx="5">
                  <c:v>C. VALENCIANA</c:v>
                </c:pt>
              </c:strCache>
            </c:strRef>
          </c:cat>
          <c:val>
            <c:numRef>
              <c:f>'ALM-EDAD'!$AR$79:$AR$84</c:f>
              <c:numCache>
                <c:formatCode>#,##0</c:formatCode>
                <c:ptCount val="6"/>
                <c:pt idx="0">
                  <c:v>24837.789999999997</c:v>
                </c:pt>
                <c:pt idx="1">
                  <c:v>18893.049999999996</c:v>
                </c:pt>
                <c:pt idx="2">
                  <c:v>19052.830000000002</c:v>
                </c:pt>
                <c:pt idx="3">
                  <c:v>6928.9599999999991</c:v>
                </c:pt>
                <c:pt idx="4">
                  <c:v>11074.970000000001</c:v>
                </c:pt>
                <c:pt idx="5">
                  <c:v>8162.7999999999984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9268464"/>
        <c:axId val="1079259216"/>
      </c:barChart>
      <c:catAx>
        <c:axId val="107926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9216"/>
        <c:crosses val="autoZero"/>
        <c:auto val="1"/>
        <c:lblAlgn val="ctr"/>
        <c:lblOffset val="100"/>
        <c:noMultiLvlLbl val="0"/>
      </c:catAx>
      <c:valAx>
        <c:axId val="107925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baseline="0">
                <a:effectLst/>
              </a:rPr>
              <a:t>Frutos secos (regadío): Representatividad 2019 vs 2020</a:t>
            </a:r>
            <a:endParaRPr lang="es-E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9900481189851273E-2"/>
          <c:y val="0.17171296296296298"/>
          <c:w val="0.87232174103237092"/>
          <c:h val="0.4431503353747448"/>
        </c:manualLayout>
      </c:layout>
      <c:bar3DChart>
        <c:barDir val="col"/>
        <c:grouping val="clustered"/>
        <c:varyColors val="0"/>
        <c:ser>
          <c:idx val="0"/>
          <c:order val="0"/>
          <c:tx>
            <c:v>Representatividad 2019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('Frutos secos TOTAL'!$B$150,'Frutos secos TOTAL'!$B$159,'Frutos secos TOTAL'!$B$163,'Frutos secos TOTAL'!$B$167,'Frutos secos TOTAL'!$B$172,'Frutos secos TOTAL'!$B$188,'Frutos secos TOTAL'!$B$200)</c:f>
              <c:strCache>
                <c:ptCount val="7"/>
                <c:pt idx="0">
                  <c:v>ANDALUCÍA</c:v>
                </c:pt>
                <c:pt idx="1">
                  <c:v>ARAGÓN</c:v>
                </c:pt>
                <c:pt idx="2">
                  <c:v>C. VALENCIANA</c:v>
                </c:pt>
                <c:pt idx="3">
                  <c:v>CATALUÑA</c:v>
                </c:pt>
                <c:pt idx="4">
                  <c:v>C.-LA MANCHA</c:v>
                </c:pt>
                <c:pt idx="5">
                  <c:v>EXTREMADURA</c:v>
                </c:pt>
                <c:pt idx="6">
                  <c:v>MURCIA</c:v>
                </c:pt>
              </c:strCache>
            </c:strRef>
          </c:cat>
          <c:val>
            <c:numRef>
              <c:f>('Frutos secos TOTAL'!$G$150,'Frutos secos TOTAL'!$G$159,'Frutos secos TOTAL'!$G$163,'Frutos secos TOTAL'!$G$167,'Frutos secos TOTAL'!$G$172,'Frutos secos TOTAL'!$G$188,'Frutos secos TOTAL'!$G$200)</c:f>
              <c:numCache>
                <c:formatCode>0%</c:formatCode>
                <c:ptCount val="7"/>
                <c:pt idx="0">
                  <c:v>0.78769920059490617</c:v>
                </c:pt>
                <c:pt idx="1">
                  <c:v>0.47565583707116021</c:v>
                </c:pt>
                <c:pt idx="2">
                  <c:v>0.54414553395322585</c:v>
                </c:pt>
                <c:pt idx="3">
                  <c:v>0.95178603756505975</c:v>
                </c:pt>
                <c:pt idx="4">
                  <c:v>0.75492688786711404</c:v>
                </c:pt>
                <c:pt idx="5">
                  <c:v>1.0167749118574876</c:v>
                </c:pt>
                <c:pt idx="6">
                  <c:v>0.93195141700404838</c:v>
                </c:pt>
              </c:numCache>
            </c:numRef>
          </c:val>
        </c:ser>
        <c:ser>
          <c:idx val="1"/>
          <c:order val="1"/>
          <c:tx>
            <c:v>Representatividad 2020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('Frutos secos TOTAL'!$B$150,'Frutos secos TOTAL'!$B$159,'Frutos secos TOTAL'!$B$163,'Frutos secos TOTAL'!$B$167,'Frutos secos TOTAL'!$B$172,'Frutos secos TOTAL'!$B$188,'Frutos secos TOTAL'!$B$200)</c:f>
              <c:strCache>
                <c:ptCount val="7"/>
                <c:pt idx="0">
                  <c:v>ANDALUCÍA</c:v>
                </c:pt>
                <c:pt idx="1">
                  <c:v>ARAGÓN</c:v>
                </c:pt>
                <c:pt idx="2">
                  <c:v>C. VALENCIANA</c:v>
                </c:pt>
                <c:pt idx="3">
                  <c:v>CATALUÑA</c:v>
                </c:pt>
                <c:pt idx="4">
                  <c:v>C.-LA MANCHA</c:v>
                </c:pt>
                <c:pt idx="5">
                  <c:v>EXTREMADURA</c:v>
                </c:pt>
                <c:pt idx="6">
                  <c:v>MURCIA</c:v>
                </c:pt>
              </c:strCache>
            </c:strRef>
          </c:cat>
          <c:val>
            <c:numRef>
              <c:f>('Frutos secos TOTAL'!$H$150,'Frutos secos TOTAL'!$H$159,'Frutos secos TOTAL'!$H$163,'Frutos secos TOTAL'!$H$167,'Frutos secos TOTAL'!$H$172,'Frutos secos TOTAL'!$H$188,'Frutos secos TOTAL'!$H$200)</c:f>
              <c:numCache>
                <c:formatCode>0%</c:formatCode>
                <c:ptCount val="7"/>
                <c:pt idx="0">
                  <c:v>0.85432621769876427</c:v>
                </c:pt>
                <c:pt idx="1">
                  <c:v>0.93424307979743348</c:v>
                </c:pt>
                <c:pt idx="2">
                  <c:v>0.55596903436099376</c:v>
                </c:pt>
                <c:pt idx="3">
                  <c:v>0.93125278945456436</c:v>
                </c:pt>
                <c:pt idx="4">
                  <c:v>0.79413250876729924</c:v>
                </c:pt>
                <c:pt idx="5">
                  <c:v>1.0327291666666665</c:v>
                </c:pt>
                <c:pt idx="6">
                  <c:v>0.93299605781865913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219376"/>
        <c:axId val="970225360"/>
        <c:axId val="0"/>
      </c:bar3DChart>
      <c:catAx>
        <c:axId val="97021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5360"/>
        <c:crosses val="autoZero"/>
        <c:auto val="1"/>
        <c:lblAlgn val="ctr"/>
        <c:lblOffset val="100"/>
        <c:noMultiLvlLbl val="0"/>
      </c:catAx>
      <c:valAx>
        <c:axId val="97022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1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Almendro (secano):</a:t>
            </a:r>
            <a:r>
              <a:rPr lang="es-ES" baseline="0"/>
              <a:t> Sin info de edad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cat>
            <c:strRef>
              <c:f>'ALM-EDAD'!$A$62:$A$72</c:f>
              <c:strCache>
                <c:ptCount val="11"/>
                <c:pt idx="0">
                  <c:v>ANDALUCÍA</c:v>
                </c:pt>
                <c:pt idx="1">
                  <c:v>ARAGÓN</c:v>
                </c:pt>
                <c:pt idx="2">
                  <c:v>C. VALENCIANA</c:v>
                </c:pt>
                <c:pt idx="3">
                  <c:v>CATALUÑA</c:v>
                </c:pt>
                <c:pt idx="4">
                  <c:v>C.-LA MANCHA</c:v>
                </c:pt>
                <c:pt idx="5">
                  <c:v>C. y LEÓN</c:v>
                </c:pt>
                <c:pt idx="6">
                  <c:v>EXTREMADURA</c:v>
                </c:pt>
                <c:pt idx="7">
                  <c:v>LA RIOJA</c:v>
                </c:pt>
                <c:pt idx="8">
                  <c:v>MURCIA</c:v>
                </c:pt>
                <c:pt idx="9">
                  <c:v>NAVARRA</c:v>
                </c:pt>
                <c:pt idx="10">
                  <c:v>PAÍS VASCO</c:v>
                </c:pt>
              </c:strCache>
            </c:strRef>
          </c:cat>
          <c:val>
            <c:numRef>
              <c:f>'ALM-EDAD'!$X$62:$X$72</c:f>
              <c:numCache>
                <c:formatCode>0.00%</c:formatCode>
                <c:ptCount val="11"/>
                <c:pt idx="0">
                  <c:v>5.8013974675058142E-4</c:v>
                </c:pt>
                <c:pt idx="1">
                  <c:v>4.7442454849925542E-3</c:v>
                </c:pt>
                <c:pt idx="2">
                  <c:v>9.3934628633393288E-3</c:v>
                </c:pt>
                <c:pt idx="3" formatCode="0.000%">
                  <c:v>6.8765090714048086E-6</c:v>
                </c:pt>
                <c:pt idx="4">
                  <c:v>5.0339003382327626E-4</c:v>
                </c:pt>
                <c:pt idx="5">
                  <c:v>3.2803389403917942E-3</c:v>
                </c:pt>
                <c:pt idx="6" formatCode="0%">
                  <c:v>1.3818453162353006E-3</c:v>
                </c:pt>
                <c:pt idx="7">
                  <c:v>2.4625819137457186E-3</c:v>
                </c:pt>
                <c:pt idx="8">
                  <c:v>7.3416218520189524E-3</c:v>
                </c:pt>
                <c:pt idx="9">
                  <c:v>2.221471725017824E-3</c:v>
                </c:pt>
                <c:pt idx="10">
                  <c:v>1.7064846416382255E-3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63-44EA-96DB-934FF2D60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79258128"/>
        <c:axId val="1079265744"/>
      </c:barChart>
      <c:catAx>
        <c:axId val="1079258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5744"/>
        <c:crosses val="autoZero"/>
        <c:auto val="1"/>
        <c:lblAlgn val="ctr"/>
        <c:lblOffset val="100"/>
        <c:noMultiLvlLbl val="0"/>
      </c:catAx>
      <c:valAx>
        <c:axId val="1079265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8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Almendro (Secano):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Edades</a:t>
            </a:r>
            <a:r>
              <a:rPr lang="es-ES" baseline="0">
                <a:solidFill>
                  <a:sysClr val="windowText" lastClr="000000"/>
                </a:solidFill>
              </a:rPr>
              <a:t> de plantación 2000 - 2020</a:t>
            </a:r>
            <a:endParaRPr lang="es-E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24295814162276"/>
          <c:y val="3.0721966205837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B966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'ALM-EDAD'!$B$3:$W$3</c15:sqref>
                  </c15:fullRef>
                </c:ext>
              </c:extLst>
              <c:f>'ALM-EDAD'!$C$3:$W$3</c:f>
              <c:strCache>
                <c:ptCount val="21"/>
                <c:pt idx="0">
                  <c:v>2.000</c:v>
                </c:pt>
                <c:pt idx="1">
                  <c:v>2.001</c:v>
                </c:pt>
                <c:pt idx="2">
                  <c:v>2.002</c:v>
                </c:pt>
                <c:pt idx="3">
                  <c:v>2.003</c:v>
                </c:pt>
                <c:pt idx="4">
                  <c:v>2.004</c:v>
                </c:pt>
                <c:pt idx="5">
                  <c:v>2.005</c:v>
                </c:pt>
                <c:pt idx="6">
                  <c:v>2.006</c:v>
                </c:pt>
                <c:pt idx="7">
                  <c:v>2.007</c:v>
                </c:pt>
                <c:pt idx="8">
                  <c:v>2.008</c:v>
                </c:pt>
                <c:pt idx="9">
                  <c:v>2.009</c:v>
                </c:pt>
                <c:pt idx="10">
                  <c:v>2.010</c:v>
                </c:pt>
                <c:pt idx="11">
                  <c:v>2.011</c:v>
                </c:pt>
                <c:pt idx="12">
                  <c:v>2.012</c:v>
                </c:pt>
                <c:pt idx="13">
                  <c:v>2.013</c:v>
                </c:pt>
                <c:pt idx="14">
                  <c:v>2.014</c:v>
                </c:pt>
                <c:pt idx="15">
                  <c:v>2.015</c:v>
                </c:pt>
                <c:pt idx="16">
                  <c:v>2.016</c:v>
                </c:pt>
                <c:pt idx="17">
                  <c:v>2.017</c:v>
                </c:pt>
                <c:pt idx="18">
                  <c:v>2.018</c:v>
                </c:pt>
                <c:pt idx="19">
                  <c:v>2.019</c:v>
                </c:pt>
                <c:pt idx="20">
                  <c:v>2.020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'ALM-EDAD'!$B$57:$W$57</c15:sqref>
                  </c15:fullRef>
                </c:ext>
              </c:extLst>
              <c:f>'ALM-EDAD'!$C$57:$W$57</c:f>
              <c:numCache>
                <c:formatCode>#,##0</c:formatCode>
                <c:ptCount val="21"/>
                <c:pt idx="0">
                  <c:v>25680.679999999997</c:v>
                </c:pt>
                <c:pt idx="1">
                  <c:v>3049.4500000000003</c:v>
                </c:pt>
                <c:pt idx="2">
                  <c:v>3776.3900000000003</c:v>
                </c:pt>
                <c:pt idx="3">
                  <c:v>3214.6900000000005</c:v>
                </c:pt>
                <c:pt idx="4">
                  <c:v>6055.6</c:v>
                </c:pt>
                <c:pt idx="5">
                  <c:v>7773.66</c:v>
                </c:pt>
                <c:pt idx="6">
                  <c:v>4632.9900000000007</c:v>
                </c:pt>
                <c:pt idx="7">
                  <c:v>7369.27</c:v>
                </c:pt>
                <c:pt idx="8">
                  <c:v>4465.2199999999993</c:v>
                </c:pt>
                <c:pt idx="9">
                  <c:v>6235.7299999999987</c:v>
                </c:pt>
                <c:pt idx="10">
                  <c:v>7028.65</c:v>
                </c:pt>
                <c:pt idx="11">
                  <c:v>3448.0600000000004</c:v>
                </c:pt>
                <c:pt idx="12">
                  <c:v>5421.6100000000006</c:v>
                </c:pt>
                <c:pt idx="13">
                  <c:v>6274.51</c:v>
                </c:pt>
                <c:pt idx="14">
                  <c:v>12146.949999999999</c:v>
                </c:pt>
                <c:pt idx="15">
                  <c:v>25663.399999999998</c:v>
                </c:pt>
                <c:pt idx="16">
                  <c:v>31328.39</c:v>
                </c:pt>
                <c:pt idx="17">
                  <c:v>29014.71</c:v>
                </c:pt>
                <c:pt idx="18">
                  <c:v>19033.169999999998</c:v>
                </c:pt>
                <c:pt idx="19">
                  <c:v>19150.91</c:v>
                </c:pt>
                <c:pt idx="20">
                  <c:v>13481.98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9267376"/>
        <c:axId val="1079253776"/>
      </c:barChart>
      <c:catAx>
        <c:axId val="107926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3776"/>
        <c:crosses val="autoZero"/>
        <c:auto val="1"/>
        <c:lblAlgn val="ctr"/>
        <c:lblOffset val="100"/>
        <c:noMultiLvlLbl val="0"/>
      </c:catAx>
      <c:valAx>
        <c:axId val="107925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6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Almendro (Regadío):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Edades de plantación </a:t>
            </a:r>
            <a:r>
              <a:rPr lang="es-ES" baseline="0">
                <a:solidFill>
                  <a:sysClr val="windowText" lastClr="000000"/>
                </a:solidFill>
              </a:rPr>
              <a:t>2000 - 2020</a:t>
            </a:r>
            <a:endParaRPr lang="es-E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'ALM-EDAD'!$B$78:$W$78</c15:sqref>
                  </c15:fullRef>
                </c:ext>
              </c:extLst>
              <c:f>'ALM-EDAD'!$C$78:$W$78</c:f>
              <c:strCache>
                <c:ptCount val="21"/>
                <c:pt idx="0">
                  <c:v>2.000</c:v>
                </c:pt>
                <c:pt idx="1">
                  <c:v>2.001</c:v>
                </c:pt>
                <c:pt idx="2">
                  <c:v>2.002</c:v>
                </c:pt>
                <c:pt idx="3">
                  <c:v>2.003</c:v>
                </c:pt>
                <c:pt idx="4">
                  <c:v>2.004</c:v>
                </c:pt>
                <c:pt idx="5">
                  <c:v>2.005</c:v>
                </c:pt>
                <c:pt idx="6">
                  <c:v>2.006</c:v>
                </c:pt>
                <c:pt idx="7">
                  <c:v>2.007</c:v>
                </c:pt>
                <c:pt idx="8">
                  <c:v>2.008</c:v>
                </c:pt>
                <c:pt idx="9">
                  <c:v>2.009</c:v>
                </c:pt>
                <c:pt idx="10">
                  <c:v>2.010</c:v>
                </c:pt>
                <c:pt idx="11">
                  <c:v>2.011</c:v>
                </c:pt>
                <c:pt idx="12">
                  <c:v>2.012</c:v>
                </c:pt>
                <c:pt idx="13">
                  <c:v>2.013</c:v>
                </c:pt>
                <c:pt idx="14">
                  <c:v>2.014</c:v>
                </c:pt>
                <c:pt idx="15">
                  <c:v>2.015</c:v>
                </c:pt>
                <c:pt idx="16">
                  <c:v>2.016</c:v>
                </c:pt>
                <c:pt idx="17">
                  <c:v>2.017</c:v>
                </c:pt>
                <c:pt idx="18">
                  <c:v>2.018</c:v>
                </c:pt>
                <c:pt idx="19">
                  <c:v>2.019</c:v>
                </c:pt>
                <c:pt idx="20">
                  <c:v>2.020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'ALM-EDAD'!$B$129:$W$129</c15:sqref>
                  </c15:fullRef>
                </c:ext>
              </c:extLst>
              <c:f>'ALM-EDAD'!$C$129:$W$129</c:f>
              <c:numCache>
                <c:formatCode>#,##0</c:formatCode>
                <c:ptCount val="21"/>
                <c:pt idx="0">
                  <c:v>3049.0099999999993</c:v>
                </c:pt>
                <c:pt idx="1">
                  <c:v>526.66999999999996</c:v>
                </c:pt>
                <c:pt idx="2">
                  <c:v>487.08</c:v>
                </c:pt>
                <c:pt idx="3">
                  <c:v>606.01</c:v>
                </c:pt>
                <c:pt idx="4">
                  <c:v>774.28</c:v>
                </c:pt>
                <c:pt idx="5">
                  <c:v>1221.3000000000002</c:v>
                </c:pt>
                <c:pt idx="6">
                  <c:v>989.62000000000012</c:v>
                </c:pt>
                <c:pt idx="7">
                  <c:v>1316.5900000000001</c:v>
                </c:pt>
                <c:pt idx="8">
                  <c:v>1552.43</c:v>
                </c:pt>
                <c:pt idx="9">
                  <c:v>1241.7300000000002</c:v>
                </c:pt>
                <c:pt idx="10">
                  <c:v>1429.5800000000002</c:v>
                </c:pt>
                <c:pt idx="11">
                  <c:v>1122.6399999999999</c:v>
                </c:pt>
                <c:pt idx="12">
                  <c:v>1485.38</c:v>
                </c:pt>
                <c:pt idx="13">
                  <c:v>2066.83</c:v>
                </c:pt>
                <c:pt idx="14">
                  <c:v>3602.13</c:v>
                </c:pt>
                <c:pt idx="15">
                  <c:v>8307.17</c:v>
                </c:pt>
                <c:pt idx="16">
                  <c:v>13756.07</c:v>
                </c:pt>
                <c:pt idx="17">
                  <c:v>14117.949999999999</c:v>
                </c:pt>
                <c:pt idx="18">
                  <c:v>8593.89</c:v>
                </c:pt>
                <c:pt idx="19">
                  <c:v>8144.51</c:v>
                </c:pt>
                <c:pt idx="20">
                  <c:v>9363.0700000000015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9254320"/>
        <c:axId val="1081262608"/>
      </c:barChart>
      <c:catAx>
        <c:axId val="107925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2608"/>
        <c:crosses val="autoZero"/>
        <c:auto val="1"/>
        <c:lblAlgn val="ctr"/>
        <c:lblOffset val="100"/>
        <c:noMultiLvlLbl val="0"/>
      </c:catAx>
      <c:valAx>
        <c:axId val="108126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925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Almendro (Secano): </a:t>
            </a:r>
          </a:p>
          <a:p>
            <a:pPr>
              <a:defRPr/>
            </a:pPr>
            <a:r>
              <a:rPr lang="en-US"/>
              <a:t>Las 10 provincias con mayor superficie de plantaciones jóvenes </a:t>
            </a:r>
          </a:p>
        </c:rich>
      </c:tx>
      <c:layout>
        <c:manualLayout>
          <c:xMode val="edge"/>
          <c:yMode val="edge"/>
          <c:x val="0.17323300940006994"/>
          <c:y val="1.69351675868102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945895726694998"/>
          <c:y val="0.19609195402298851"/>
          <c:w val="0.84369050773094811"/>
          <c:h val="0.6181075210426283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'ALM-EDAD'!$AK$17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96633"/>
            </a:solidFill>
            <a:ln>
              <a:solidFill>
                <a:srgbClr val="663300"/>
              </a:solidFill>
            </a:ln>
            <a:effectLst/>
          </c:spPr>
          <c:invertIfNegative val="0"/>
          <c:cat>
            <c:strRef>
              <c:f>'ALM-EDAD'!$AI$18:$AI$27</c:f>
              <c:strCache>
                <c:ptCount val="10"/>
                <c:pt idx="0">
                  <c:v>Albacete</c:v>
                </c:pt>
                <c:pt idx="1">
                  <c:v>Granada</c:v>
                </c:pt>
                <c:pt idx="2">
                  <c:v>Murcia</c:v>
                </c:pt>
                <c:pt idx="3">
                  <c:v>Cuenca</c:v>
                </c:pt>
                <c:pt idx="4">
                  <c:v>Ciudad Real</c:v>
                </c:pt>
                <c:pt idx="5">
                  <c:v>Toledo</c:v>
                </c:pt>
                <c:pt idx="6">
                  <c:v>Almería</c:v>
                </c:pt>
                <c:pt idx="7">
                  <c:v>Zaragoza</c:v>
                </c:pt>
                <c:pt idx="8">
                  <c:v>Córdoba</c:v>
                </c:pt>
                <c:pt idx="9">
                  <c:v>Valencia</c:v>
                </c:pt>
              </c:strCache>
            </c:strRef>
          </c:cat>
          <c:val>
            <c:numRef>
              <c:f>'ALM-EDAD'!$AK$18:$AK$27</c:f>
              <c:numCache>
                <c:formatCode>#,##0</c:formatCode>
                <c:ptCount val="10"/>
                <c:pt idx="0">
                  <c:v>63273.239999999976</c:v>
                </c:pt>
                <c:pt idx="1">
                  <c:v>80712.929999999964</c:v>
                </c:pt>
                <c:pt idx="2">
                  <c:v>72261.029999999926</c:v>
                </c:pt>
                <c:pt idx="3">
                  <c:v>25562.159999999996</c:v>
                </c:pt>
                <c:pt idx="4">
                  <c:v>14292.339999999998</c:v>
                </c:pt>
                <c:pt idx="5">
                  <c:v>19302.519999999993</c:v>
                </c:pt>
                <c:pt idx="6">
                  <c:v>43467.800000000025</c:v>
                </c:pt>
                <c:pt idx="7">
                  <c:v>31405.799999999974</c:v>
                </c:pt>
                <c:pt idx="8">
                  <c:v>3859.4700000000003</c:v>
                </c:pt>
                <c:pt idx="9">
                  <c:v>23626.599999999991</c:v>
                </c:pt>
              </c:numCache>
            </c:numRef>
          </c:val>
          <c:extLst/>
        </c:ser>
        <c:ser>
          <c:idx val="0"/>
          <c:order val="1"/>
          <c:tx>
            <c:strRef>
              <c:f>'ALM-EDAD'!$AJ$17</c:f>
              <c:strCache>
                <c:ptCount val="1"/>
                <c:pt idx="0">
                  <c:v>Plantaciones jóvenes</c:v>
                </c:pt>
              </c:strCache>
            </c:strRef>
          </c:tx>
          <c:spPr>
            <a:solidFill>
              <a:srgbClr val="E7CFB7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CD8A07B3-8393-4E99-B322-E498FA7AA1E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8466ACE-B604-4B4F-95DB-D37E44F3EB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573115C-C83F-48A9-B9F2-10984AC5980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B057E7E-6BD5-41A4-B559-54EAA4A0E1A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279D56D-6D25-4ACB-B527-93A7C6EFAB0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D94F425-6BA6-4FC7-A549-0F9CFD97674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E24302B1-F548-4C66-9E4A-B6F602F77DC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B99C2710-F20D-46E8-85F2-9125E7C0614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ED7E1ED0-1131-44F3-B640-99D586DB892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8BAE0B43-633C-449E-82DE-42F334D3AD2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'ALM-EDAD'!$AI$18:$AI$27</c:f>
              <c:strCache>
                <c:ptCount val="10"/>
                <c:pt idx="0">
                  <c:v>Albacete</c:v>
                </c:pt>
                <c:pt idx="1">
                  <c:v>Granada</c:v>
                </c:pt>
                <c:pt idx="2">
                  <c:v>Murcia</c:v>
                </c:pt>
                <c:pt idx="3">
                  <c:v>Cuenca</c:v>
                </c:pt>
                <c:pt idx="4">
                  <c:v>Ciudad Real</c:v>
                </c:pt>
                <c:pt idx="5">
                  <c:v>Toledo</c:v>
                </c:pt>
                <c:pt idx="6">
                  <c:v>Almería</c:v>
                </c:pt>
                <c:pt idx="7">
                  <c:v>Zaragoza</c:v>
                </c:pt>
                <c:pt idx="8">
                  <c:v>Córdoba</c:v>
                </c:pt>
                <c:pt idx="9">
                  <c:v>Valencia</c:v>
                </c:pt>
              </c:strCache>
            </c:strRef>
          </c:cat>
          <c:val>
            <c:numRef>
              <c:f>'ALM-EDAD'!$AJ$18:$AJ$27</c:f>
              <c:numCache>
                <c:formatCode>#,##0</c:formatCode>
                <c:ptCount val="10"/>
                <c:pt idx="0">
                  <c:v>15998.74</c:v>
                </c:pt>
                <c:pt idx="1">
                  <c:v>12848.02</c:v>
                </c:pt>
                <c:pt idx="2">
                  <c:v>9149.5099999999984</c:v>
                </c:pt>
                <c:pt idx="3">
                  <c:v>7964.4299999999994</c:v>
                </c:pt>
                <c:pt idx="4">
                  <c:v>5652.4599999999991</c:v>
                </c:pt>
                <c:pt idx="5">
                  <c:v>5208.8099999999995</c:v>
                </c:pt>
                <c:pt idx="6">
                  <c:v>3841.1899999999996</c:v>
                </c:pt>
                <c:pt idx="7">
                  <c:v>3663.7900000000004</c:v>
                </c:pt>
                <c:pt idx="8">
                  <c:v>2646.2200000000003</c:v>
                </c:pt>
                <c:pt idx="9">
                  <c:v>2036.5900000000001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'ALM-EDAD'!$AL$18:$AL$27</c15:f>
                <c15:dlblRangeCache>
                  <c:ptCount val="10"/>
                  <c:pt idx="0">
                    <c:v>25%</c:v>
                  </c:pt>
                  <c:pt idx="1">
                    <c:v>16%</c:v>
                  </c:pt>
                  <c:pt idx="2">
                    <c:v>13%</c:v>
                  </c:pt>
                  <c:pt idx="3">
                    <c:v>31%</c:v>
                  </c:pt>
                  <c:pt idx="4">
                    <c:v>40%</c:v>
                  </c:pt>
                  <c:pt idx="5">
                    <c:v>27%</c:v>
                  </c:pt>
                  <c:pt idx="6">
                    <c:v>9%</c:v>
                  </c:pt>
                  <c:pt idx="7">
                    <c:v>12%</c:v>
                  </c:pt>
                  <c:pt idx="8">
                    <c:v>69%</c:v>
                  </c:pt>
                  <c:pt idx="9">
                    <c:v>9%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1081266960"/>
        <c:axId val="1081268592"/>
      </c:barChart>
      <c:catAx>
        <c:axId val="1081266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8592"/>
        <c:crosses val="autoZero"/>
        <c:auto val="1"/>
        <c:lblAlgn val="ctr"/>
        <c:lblOffset val="100"/>
        <c:noMultiLvlLbl val="0"/>
      </c:catAx>
      <c:valAx>
        <c:axId val="108126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Almendro (Regadío): </a:t>
            </a:r>
          </a:p>
          <a:p>
            <a:pPr>
              <a:defRPr/>
            </a:pPr>
            <a:r>
              <a:rPr lang="en-US"/>
              <a:t>Las 10 provincias con mayor superficie de plantaciones jóvenes </a:t>
            </a:r>
          </a:p>
        </c:rich>
      </c:tx>
      <c:layout>
        <c:manualLayout>
          <c:xMode val="edge"/>
          <c:yMode val="edge"/>
          <c:x val="0.17323300940006994"/>
          <c:y val="1.69351675868102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46368088473683"/>
          <c:y val="0.19609195402298851"/>
          <c:w val="0.81368577231222483"/>
          <c:h val="0.6181075210426283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'ALM-EDAD'!$AK$109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15B70D"/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'ALM-EDAD'!$AI$110:$AI$119</c:f>
              <c:strCache>
                <c:ptCount val="10"/>
                <c:pt idx="0">
                  <c:v>Sevilla</c:v>
                </c:pt>
                <c:pt idx="1">
                  <c:v>Córdoba</c:v>
                </c:pt>
                <c:pt idx="2">
                  <c:v>Zaragoza</c:v>
                </c:pt>
                <c:pt idx="3">
                  <c:v>Badajoz</c:v>
                </c:pt>
                <c:pt idx="4">
                  <c:v>Albacete</c:v>
                </c:pt>
                <c:pt idx="5">
                  <c:v>Huesca</c:v>
                </c:pt>
                <c:pt idx="6">
                  <c:v>Lleida</c:v>
                </c:pt>
                <c:pt idx="7">
                  <c:v>Ciudad Real</c:v>
                </c:pt>
                <c:pt idx="8">
                  <c:v>Cáceres</c:v>
                </c:pt>
                <c:pt idx="9">
                  <c:v>Granada</c:v>
                </c:pt>
              </c:strCache>
            </c:strRef>
          </c:cat>
          <c:val>
            <c:numRef>
              <c:f>'ALM-EDAD'!$AK$110:$AK$119</c:f>
              <c:numCache>
                <c:formatCode>#,##0</c:formatCode>
                <c:ptCount val="10"/>
                <c:pt idx="0">
                  <c:v>8675.42</c:v>
                </c:pt>
                <c:pt idx="1">
                  <c:v>5783.8300000000008</c:v>
                </c:pt>
                <c:pt idx="2">
                  <c:v>11568.959999999997</c:v>
                </c:pt>
                <c:pt idx="3">
                  <c:v>4798.8099999999995</c:v>
                </c:pt>
                <c:pt idx="4">
                  <c:v>12121.160000000003</c:v>
                </c:pt>
                <c:pt idx="5">
                  <c:v>5777.84</c:v>
                </c:pt>
                <c:pt idx="6">
                  <c:v>7321.9100000000008</c:v>
                </c:pt>
                <c:pt idx="7">
                  <c:v>3125.35</c:v>
                </c:pt>
                <c:pt idx="8">
                  <c:v>2130.1499999999996</c:v>
                </c:pt>
                <c:pt idx="9">
                  <c:v>6624.67</c:v>
                </c:pt>
              </c:numCache>
            </c:numRef>
          </c:val>
          <c:extLst/>
        </c:ser>
        <c:ser>
          <c:idx val="0"/>
          <c:order val="1"/>
          <c:tx>
            <c:strRef>
              <c:f>'ALM-EDAD'!$AJ$109</c:f>
              <c:strCache>
                <c:ptCount val="1"/>
                <c:pt idx="0">
                  <c:v>Plantaciones jóvenes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DF544F8-4756-4FC1-99F4-F8D87E8980D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783C640-E1AB-4735-9AD8-25A3C5F9E69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0427B91-CED8-482B-8D6A-DF91E86C9C0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A7F3DD2-7442-4F1C-BA56-36B78DF5B3F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5983CC1-4BDE-4DD9-9E85-9BD3963D5EB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F79A85B-3D7F-407C-8D46-097F27469C1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4EB9024-6D9C-41D8-B490-DF434B00359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37DCD09-951B-439A-A474-167AD06EA74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8B5E88-694C-4B31-A356-18205872B59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8BFA521-98D1-4014-B4A6-CBCD89A5D76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'ALM-EDAD'!$AI$110:$AI$119</c:f>
              <c:strCache>
                <c:ptCount val="10"/>
                <c:pt idx="0">
                  <c:v>Sevilla</c:v>
                </c:pt>
                <c:pt idx="1">
                  <c:v>Córdoba</c:v>
                </c:pt>
                <c:pt idx="2">
                  <c:v>Zaragoza</c:v>
                </c:pt>
                <c:pt idx="3">
                  <c:v>Badajoz</c:v>
                </c:pt>
                <c:pt idx="4">
                  <c:v>Albacete</c:v>
                </c:pt>
                <c:pt idx="5">
                  <c:v>Huesca</c:v>
                </c:pt>
                <c:pt idx="6">
                  <c:v>Lleida</c:v>
                </c:pt>
                <c:pt idx="7">
                  <c:v>Ciudad Real</c:v>
                </c:pt>
                <c:pt idx="8">
                  <c:v>Cáceres</c:v>
                </c:pt>
                <c:pt idx="9">
                  <c:v>Granada</c:v>
                </c:pt>
              </c:strCache>
            </c:strRef>
          </c:cat>
          <c:val>
            <c:numRef>
              <c:f>'ALM-EDAD'!$AJ$110:$AJ$119</c:f>
              <c:numCache>
                <c:formatCode>#,##0</c:formatCode>
                <c:ptCount val="10"/>
                <c:pt idx="0">
                  <c:v>3002.63</c:v>
                </c:pt>
                <c:pt idx="1">
                  <c:v>2618.4700000000003</c:v>
                </c:pt>
                <c:pt idx="2">
                  <c:v>2569.98</c:v>
                </c:pt>
                <c:pt idx="3">
                  <c:v>2411.52</c:v>
                </c:pt>
                <c:pt idx="4">
                  <c:v>2239.61</c:v>
                </c:pt>
                <c:pt idx="5">
                  <c:v>2173.13</c:v>
                </c:pt>
                <c:pt idx="6">
                  <c:v>2112.83</c:v>
                </c:pt>
                <c:pt idx="7">
                  <c:v>1018.43</c:v>
                </c:pt>
                <c:pt idx="8">
                  <c:v>819.06</c:v>
                </c:pt>
                <c:pt idx="9">
                  <c:v>808.36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'ALM-EDAD'!$AL$110:$AL$119</c15:f>
                <c15:dlblRangeCache>
                  <c:ptCount val="10"/>
                  <c:pt idx="0">
                    <c:v>35%</c:v>
                  </c:pt>
                  <c:pt idx="1">
                    <c:v>45%</c:v>
                  </c:pt>
                  <c:pt idx="2">
                    <c:v>22%</c:v>
                  </c:pt>
                  <c:pt idx="3">
                    <c:v>50%</c:v>
                  </c:pt>
                  <c:pt idx="4">
                    <c:v>18%</c:v>
                  </c:pt>
                  <c:pt idx="5">
                    <c:v>38%</c:v>
                  </c:pt>
                  <c:pt idx="6">
                    <c:v>29%</c:v>
                  </c:pt>
                  <c:pt idx="7">
                    <c:v>33%</c:v>
                  </c:pt>
                  <c:pt idx="8">
                    <c:v>38%</c:v>
                  </c:pt>
                  <c:pt idx="9">
                    <c:v>12%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1081266416"/>
        <c:axId val="1081263152"/>
      </c:barChart>
      <c:catAx>
        <c:axId val="1081266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3152"/>
        <c:crosses val="autoZero"/>
        <c:auto val="1"/>
        <c:lblAlgn val="ctr"/>
        <c:lblOffset val="100"/>
        <c:noMultiLvlLbl val="0"/>
      </c:catAx>
      <c:valAx>
        <c:axId val="108126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Pistacho (Secano)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Evolución Superficie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plantada (2000 -2020)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'PIS-EDAD'!$A$57</c:f>
              <c:strCache>
                <c:ptCount val="1"/>
                <c:pt idx="0">
                  <c:v>Superficie Total Plantada</c:v>
                </c:pt>
              </c:strCache>
            </c:strRef>
          </c:tx>
          <c:spPr>
            <a:solidFill>
              <a:srgbClr val="CB9661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F11F68F-D874-4DE6-A547-A75664839AE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3296089-940A-488E-8771-44E58690D10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C2C0963-C234-4D75-809A-CD6F938BE37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DC52C60-CB97-4C16-A82A-8543F86B588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96A4B79-98CE-4A32-A420-8BE1F9CA6CC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ADACEB6A-B046-4FAD-ADE4-5A32083B088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90AF377-EFB8-4936-BE3F-DDA705CAE08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752CF10-571D-46AA-9803-F5347DCB555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EA6FDB7F-6704-4F5F-94CB-974AC4FA78A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0E15971-1B02-44D8-A4D7-F2CA668AADA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37AC0D4-62E1-42C6-BADB-94C13615E31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007E035F-026A-4599-909B-02EFDC16EFA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D95FFA15-F92E-4457-8796-980BBFAC4F4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316BF123-9462-4F40-9434-BE65E43D54B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C3DA8701-F584-48E6-BF7C-CDE699445A7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E3F983D-78A1-43E5-A3E7-767FDB1A2EF6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F10FBB5-3D7A-477D-80CD-7916C0F0A9FA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70F78D-092E-4A8C-9462-190FED858F35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70B1FFB-77F1-4365-9D1D-99ABDD1B791D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1D6B9C0-C113-4576-9C5D-875F6BFDDB23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62C0D0D-4E33-4EA3-A605-4B22DAEBCDA7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numRef>
              <c:f>'PIS-EDAD'!$C$4:$W$4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'PIS-EDAD'!$C$57:$W$57</c:f>
              <c:numCache>
                <c:formatCode>#,##0</c:formatCode>
                <c:ptCount val="21"/>
                <c:pt idx="0">
                  <c:v>670.1</c:v>
                </c:pt>
                <c:pt idx="1">
                  <c:v>773.14</c:v>
                </c:pt>
                <c:pt idx="2">
                  <c:v>894.45</c:v>
                </c:pt>
                <c:pt idx="3">
                  <c:v>999.6</c:v>
                </c:pt>
                <c:pt idx="4">
                  <c:v>1169.8800000000001</c:v>
                </c:pt>
                <c:pt idx="5">
                  <c:v>1340</c:v>
                </c:pt>
                <c:pt idx="6">
                  <c:v>1574.92</c:v>
                </c:pt>
                <c:pt idx="7">
                  <c:v>1736.5900000000001</c:v>
                </c:pt>
                <c:pt idx="8">
                  <c:v>1855.67</c:v>
                </c:pt>
                <c:pt idx="9">
                  <c:v>2134.0300000000002</c:v>
                </c:pt>
                <c:pt idx="10">
                  <c:v>2580.0800000000004</c:v>
                </c:pt>
                <c:pt idx="11">
                  <c:v>3017.1800000000003</c:v>
                </c:pt>
                <c:pt idx="12">
                  <c:v>3603.01</c:v>
                </c:pt>
                <c:pt idx="13">
                  <c:v>4356.4400000000005</c:v>
                </c:pt>
                <c:pt idx="14">
                  <c:v>5534.5300000000007</c:v>
                </c:pt>
                <c:pt idx="15">
                  <c:v>8513.7099999999991</c:v>
                </c:pt>
                <c:pt idx="16">
                  <c:v>12076.78</c:v>
                </c:pt>
                <c:pt idx="17">
                  <c:v>16854.260000000002</c:v>
                </c:pt>
                <c:pt idx="18">
                  <c:v>23799.260000000002</c:v>
                </c:pt>
                <c:pt idx="19">
                  <c:v>31206.660000000003</c:v>
                </c:pt>
                <c:pt idx="20">
                  <c:v>36355.570000000007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EC-4CCD-A2C2-F64AB584EDC1}"/>
            </c:ext>
            <c:ext xmlns:c15="http://schemas.microsoft.com/office/drawing/2012/chart" uri="{02D57815-91ED-43cb-92C2-25804820EDAC}">
              <c15:datalabelsRange>
                <c15:f>'PIS-EDAD'!$B$58:$W$58</c15:f>
                <c15:dlblRangeCache>
                  <c:ptCount val="22"/>
                  <c:pt idx="2">
                    <c:v>15%</c:v>
                  </c:pt>
                  <c:pt idx="3">
                    <c:v>16%</c:v>
                  </c:pt>
                  <c:pt idx="4">
                    <c:v>12%</c:v>
                  </c:pt>
                  <c:pt idx="5">
                    <c:v>17%</c:v>
                  </c:pt>
                  <c:pt idx="6">
                    <c:v>15%</c:v>
                  </c:pt>
                  <c:pt idx="7">
                    <c:v>18%</c:v>
                  </c:pt>
                  <c:pt idx="8">
                    <c:v>10%</c:v>
                  </c:pt>
                  <c:pt idx="9">
                    <c:v>7%</c:v>
                  </c:pt>
                  <c:pt idx="10">
                    <c:v>15%</c:v>
                  </c:pt>
                  <c:pt idx="11">
                    <c:v>21%</c:v>
                  </c:pt>
                  <c:pt idx="12">
                    <c:v>17%</c:v>
                  </c:pt>
                  <c:pt idx="13">
                    <c:v>19%</c:v>
                  </c:pt>
                  <c:pt idx="14">
                    <c:v>21%</c:v>
                  </c:pt>
                  <c:pt idx="15">
                    <c:v>27%</c:v>
                  </c:pt>
                  <c:pt idx="16">
                    <c:v>54%</c:v>
                  </c:pt>
                  <c:pt idx="17">
                    <c:v>42%</c:v>
                  </c:pt>
                  <c:pt idx="18">
                    <c:v>40%</c:v>
                  </c:pt>
                  <c:pt idx="19">
                    <c:v>41%</c:v>
                  </c:pt>
                  <c:pt idx="20">
                    <c:v>31%</c:v>
                  </c:pt>
                  <c:pt idx="21">
                    <c:v>16%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081264784"/>
        <c:axId val="1081273488"/>
      </c:barChart>
      <c:catAx>
        <c:axId val="1081264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73488"/>
        <c:crosses val="autoZero"/>
        <c:auto val="1"/>
        <c:lblAlgn val="ctr"/>
        <c:lblOffset val="100"/>
        <c:noMultiLvlLbl val="0"/>
      </c:catAx>
      <c:valAx>
        <c:axId val="108127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Pistacho (secano): Sin</a:t>
            </a:r>
            <a:r>
              <a:rPr lang="es-ES" baseline="0"/>
              <a:t> info de edad</a:t>
            </a:r>
            <a:endParaRPr lang="es-E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'PIS-EDAD'!$X$60</c:f>
              <c:strCache>
                <c:ptCount val="1"/>
                <c:pt idx="0">
                  <c:v>Sin info de edad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60E12C47-1DAE-4ACA-8DFB-608168F3A8F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F234FDF-057D-4D73-9865-F8F023F4E37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B722513-C6E1-4CA8-B243-9B78B5AFEC1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FBF02DE-5550-4678-B3F9-0C2F26CC87D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5FC3688-CDE2-4B9C-B38B-4C3076C350D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167B2AA-B4B7-4F04-B3EE-B7EB6403BCB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4E4C073-836A-420D-8222-38C4820E8D6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6A656A4D-DD04-4F7F-9AE5-A7E18DF746F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'PIS-EDAD'!$A$61:$A$70</c15:sqref>
                  </c15:fullRef>
                </c:ext>
              </c:extLst>
              <c:f>('PIS-EDAD'!$A$61:$A$63,'PIS-EDAD'!$A$65:$A$66,'PIS-EDAD'!$A$68:$A$70)</c:f>
              <c:strCache>
                <c:ptCount val="8"/>
                <c:pt idx="0">
                  <c:v>ANDALUCÍA</c:v>
                </c:pt>
                <c:pt idx="1">
                  <c:v>ARAGÓN</c:v>
                </c:pt>
                <c:pt idx="2">
                  <c:v>C. VALENCIANA</c:v>
                </c:pt>
                <c:pt idx="3">
                  <c:v>C.-LA MANCHA</c:v>
                </c:pt>
                <c:pt idx="4">
                  <c:v>C. y LEÓN</c:v>
                </c:pt>
                <c:pt idx="5">
                  <c:v>LA RIOJA</c:v>
                </c:pt>
                <c:pt idx="6">
                  <c:v>MURCIA</c:v>
                </c:pt>
                <c:pt idx="7">
                  <c:v>NAVARRA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'PIS-EDAD'!$X$61:$X$70</c15:sqref>
                  </c15:fullRef>
                </c:ext>
              </c:extLst>
              <c:f>('PIS-EDAD'!$X$61:$X$63,'PIS-EDAD'!$X$65:$X$66,'PIS-EDAD'!$X$68:$X$70)</c:f>
              <c:numCache>
                <c:formatCode>0.00%</c:formatCode>
                <c:ptCount val="8"/>
                <c:pt idx="0" formatCode="0.000%">
                  <c:v>3.3918015311561195E-4</c:v>
                </c:pt>
                <c:pt idx="1">
                  <c:v>1.767301015480199E-2</c:v>
                </c:pt>
                <c:pt idx="2" formatCode="0.000%">
                  <c:v>3.6516341062625522E-4</c:v>
                </c:pt>
                <c:pt idx="3" formatCode="0.000%">
                  <c:v>4.8955825572307961E-4</c:v>
                </c:pt>
                <c:pt idx="4">
                  <c:v>4.2686768804600182E-3</c:v>
                </c:pt>
                <c:pt idx="5" formatCode="0.0%">
                  <c:v>1.0857763300760044E-3</c:v>
                </c:pt>
                <c:pt idx="6">
                  <c:v>3.4333360582032208E-3</c:v>
                </c:pt>
                <c:pt idx="7" formatCode="0.0%">
                  <c:v>1.5037593984962405E-2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36-4C45-82B7-C294E5986500}"/>
            </c:ext>
            <c:ext xmlns:c15="http://schemas.microsoft.com/office/drawing/2012/chart" uri="{02D57815-91ED-43cb-92C2-25804820EDAC}">
              <c15:datalabelsRange>
                <c15:f>'PIS-EDAD'!$X$61:$X$70</c15:f>
                <c15:dlblRangeCache>
                  <c:ptCount val="10"/>
                  <c:pt idx="0">
                    <c:v>0,034%</c:v>
                  </c:pt>
                  <c:pt idx="1">
                    <c:v>1,77%</c:v>
                  </c:pt>
                  <c:pt idx="2">
                    <c:v>0,037%</c:v>
                  </c:pt>
                  <c:pt idx="3">
                    <c:v>0%</c:v>
                  </c:pt>
                  <c:pt idx="4">
                    <c:v>0,049%</c:v>
                  </c:pt>
                  <c:pt idx="5">
                    <c:v>0,43%</c:v>
                  </c:pt>
                  <c:pt idx="6">
                    <c:v>0%</c:v>
                  </c:pt>
                  <c:pt idx="7">
                    <c:v>0,1%</c:v>
                  </c:pt>
                  <c:pt idx="8">
                    <c:v>0,34%</c:v>
                  </c:pt>
                  <c:pt idx="9">
                    <c:v>1,5%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1262064"/>
        <c:axId val="1081258256"/>
      </c:barChart>
      <c:catAx>
        <c:axId val="1081262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58256"/>
        <c:crosses val="autoZero"/>
        <c:auto val="1"/>
        <c:lblAlgn val="ctr"/>
        <c:lblOffset val="100"/>
        <c:noMultiLvlLbl val="0"/>
      </c:catAx>
      <c:valAx>
        <c:axId val="1081258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Pistacho (regadío): Sin info de 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'PIS-EDAD'!$X$128</c:f>
              <c:strCache>
                <c:ptCount val="1"/>
                <c:pt idx="0">
                  <c:v>Sin info de edad</c:v>
                </c:pt>
              </c:strCache>
            </c:strRef>
          </c:tx>
          <c:spPr>
            <a:solidFill>
              <a:srgbClr val="15B70D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15B70D"/>
              </a:solidFill>
              <a:ln>
                <a:noFill/>
              </a:ln>
              <a:effectLst/>
            </c:spPr>
          </c:dPt>
          <c:dLbls>
            <c:dLbl>
              <c:idx val="0"/>
              <c:tx>
                <c:rich>
                  <a:bodyPr/>
                  <a:lstStyle/>
                  <a:p>
                    <a:fld id="{1DA97048-7187-4C44-BFCC-BE8C747A8C4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FBD24BC-BCDB-4345-83C4-9A9049236A5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B586D7-2644-4A74-BFF4-0091A463388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454D3F1-D21A-4345-B7D4-8DD46F16D9D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A4317F0-9883-47B3-9DFC-62D13D121E1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64BE5AC-1310-4A82-93E7-9E0BFFFAA83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'PIS-EDAD'!$A$129:$A$138</c15:sqref>
                  </c15:fullRef>
                </c:ext>
              </c:extLst>
              <c:f>('PIS-EDAD'!$A$129:$A$131,'PIS-EDAD'!$A$133,'PIS-EDAD'!$A$137:$A$138)</c:f>
              <c:strCache>
                <c:ptCount val="6"/>
                <c:pt idx="0">
                  <c:v>ANDALUCÍA</c:v>
                </c:pt>
                <c:pt idx="1">
                  <c:v>ARAGÓN</c:v>
                </c:pt>
                <c:pt idx="2">
                  <c:v>C. VALENCIANA</c:v>
                </c:pt>
                <c:pt idx="3">
                  <c:v>C.-LA MANCHA</c:v>
                </c:pt>
                <c:pt idx="4">
                  <c:v>MURCIA</c:v>
                </c:pt>
                <c:pt idx="5">
                  <c:v>NAVARRA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'PIS-EDAD'!$X$129:$X$138</c15:sqref>
                  </c15:fullRef>
                </c:ext>
              </c:extLst>
              <c:f>('PIS-EDAD'!$X$129:$X$131,'PIS-EDAD'!$X$133,'PIS-EDAD'!$X$137:$X$138)</c:f>
              <c:numCache>
                <c:formatCode>0.0%</c:formatCode>
                <c:ptCount val="6"/>
                <c:pt idx="0" formatCode="0.00%">
                  <c:v>9.8483356312783137E-5</c:v>
                </c:pt>
                <c:pt idx="1">
                  <c:v>1.8729333366988919E-2</c:v>
                </c:pt>
                <c:pt idx="2" formatCode="0.00%">
                  <c:v>3.0330603579011223E-4</c:v>
                </c:pt>
                <c:pt idx="3" formatCode="0.00%">
                  <c:v>1.5609580423832264E-3</c:v>
                </c:pt>
                <c:pt idx="4" formatCode="0.000%">
                  <c:v>2.6294165981922762E-4</c:v>
                </c:pt>
                <c:pt idx="5" formatCode="0.00%">
                  <c:v>1.6847622613253461E-3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FD8-44C5-BA49-B38D79F0275D}"/>
            </c:ext>
            <c:ext xmlns:c15="http://schemas.microsoft.com/office/drawing/2012/chart" uri="{02D57815-91ED-43cb-92C2-25804820EDAC}">
              <c15:datalabelsRange>
                <c15:f>'PIS-EDAD'!$X$129:$X$138</c15:f>
                <c15:dlblRangeCache>
                  <c:ptCount val="10"/>
                  <c:pt idx="0">
                    <c:v>0,01%</c:v>
                  </c:pt>
                  <c:pt idx="1">
                    <c:v>1,9%</c:v>
                  </c:pt>
                  <c:pt idx="2">
                    <c:v>0,03%</c:v>
                  </c:pt>
                  <c:pt idx="3">
                    <c:v>0%</c:v>
                  </c:pt>
                  <c:pt idx="4">
                    <c:v>0,16%</c:v>
                  </c:pt>
                  <c:pt idx="5">
                    <c:v>0%</c:v>
                  </c:pt>
                  <c:pt idx="6">
                    <c:v>0%</c:v>
                  </c:pt>
                  <c:pt idx="7">
                    <c:v>0%</c:v>
                  </c:pt>
                  <c:pt idx="8">
                    <c:v>0,026%</c:v>
                  </c:pt>
                  <c:pt idx="9">
                    <c:v>0,17%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1271312"/>
        <c:axId val="1081267504"/>
      </c:barChart>
      <c:catAx>
        <c:axId val="1081271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7504"/>
        <c:crosses val="autoZero"/>
        <c:auto val="1"/>
        <c:lblAlgn val="ctr"/>
        <c:lblOffset val="100"/>
        <c:noMultiLvlLbl val="0"/>
      </c:catAx>
      <c:valAx>
        <c:axId val="108126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7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Pistacho (Regadío)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Evolución Superficie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plantada (2000 -2020)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'PIS-EDAD'!$A$125</c:f>
              <c:strCache>
                <c:ptCount val="1"/>
                <c:pt idx="0">
                  <c:v>Superficie Total Plantada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fld id="{1E767A8A-2991-41E6-8234-F7C7AB60434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8895AE-182D-4D9F-B0C9-D0ADBEACE3B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BA1724B-9CF5-4F8E-8845-05434F7DA31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6F83BDD-6793-46E3-8642-4020333EE34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391D4DA-8DC6-4F94-AD95-91C14B4570D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7D7C5ED-C18C-4FA5-BFB9-B20CB4FADD1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F26A9F0-6375-4FCF-8F36-42462BFAD90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38D8CEC-8B23-42C5-98D9-FAFAD3DC27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5B3F10B-51B0-45A5-BAA0-D9D97A6E4A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F992AC1-2CDC-49B1-ACE9-8FE27EB0CE3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332B29D-83DC-4D2F-9CBB-C1E35D77DC0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1E2E0C4-DB32-438D-8AD7-86BA3F610A6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7FBB0A3-D9EA-4307-8906-2367AB71656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994BA7A-151B-483B-891E-2F15BE5FDE6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C1B538E-BC48-4877-B27D-98B938236D9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C90B9D-9E16-4B19-95CE-F19C319FB464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F09B18F-6069-4E3A-8B06-FED6CEB46FC4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B569E8D-79BB-47ED-BD0D-B240EF189364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06D1D28-7876-4F4B-9350-AF9EAD6DD260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0F46B9E-C43E-470D-98D4-27B4B612954E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09D3C0-10BA-4F13-AC20-98640FBBACFA}" type="CELLRANGE">
                      <a:rPr lang="es-ES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'CAS-EDAD'!$B$3:$W$3</c:f>
              <c:strCache>
                <c:ptCount val="22"/>
                <c:pt idx="0">
                  <c:v>&lt;2,000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'PIS-EDAD'!$B$125:$W$125</c:f>
              <c:numCache>
                <c:formatCode>#,##0</c:formatCode>
                <c:ptCount val="22"/>
                <c:pt idx="1">
                  <c:v>502.38</c:v>
                </c:pt>
                <c:pt idx="2">
                  <c:v>541.16999999999996</c:v>
                </c:pt>
                <c:pt idx="3">
                  <c:v>548.66999999999996</c:v>
                </c:pt>
                <c:pt idx="4">
                  <c:v>660.34999999999991</c:v>
                </c:pt>
                <c:pt idx="5">
                  <c:v>740.53</c:v>
                </c:pt>
                <c:pt idx="6">
                  <c:v>802.77</c:v>
                </c:pt>
                <c:pt idx="7">
                  <c:v>852.13</c:v>
                </c:pt>
                <c:pt idx="8">
                  <c:v>890.75</c:v>
                </c:pt>
                <c:pt idx="9">
                  <c:v>954.08</c:v>
                </c:pt>
                <c:pt idx="10">
                  <c:v>1079.56</c:v>
                </c:pt>
                <c:pt idx="11">
                  <c:v>1244.6399999999999</c:v>
                </c:pt>
                <c:pt idx="12">
                  <c:v>1348.8899999999999</c:v>
                </c:pt>
                <c:pt idx="13">
                  <c:v>1523.2199999999998</c:v>
                </c:pt>
                <c:pt idx="14">
                  <c:v>1796.5199999999998</c:v>
                </c:pt>
                <c:pt idx="15">
                  <c:v>2259.5899999999997</c:v>
                </c:pt>
                <c:pt idx="16">
                  <c:v>3137.5899999999997</c:v>
                </c:pt>
                <c:pt idx="17">
                  <c:v>4007.8599999999997</c:v>
                </c:pt>
                <c:pt idx="18">
                  <c:v>5496.7599999999993</c:v>
                </c:pt>
                <c:pt idx="19">
                  <c:v>7828.2099999999991</c:v>
                </c:pt>
                <c:pt idx="20">
                  <c:v>9760.4299999999985</c:v>
                </c:pt>
                <c:pt idx="21">
                  <c:v>11707.829999999998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EC-4CCD-A2C2-F64AB584EDC1}"/>
            </c:ext>
            <c:ext xmlns:c15="http://schemas.microsoft.com/office/drawing/2012/chart" uri="{02D57815-91ED-43cb-92C2-25804820EDAC}">
              <c15:datalabelsRange>
                <c15:f>'PIS-EDAD'!$B$126:$W$126</c15:f>
                <c15:dlblRangeCache>
                  <c:ptCount val="22"/>
                  <c:pt idx="2">
                    <c:v>8%</c:v>
                  </c:pt>
                  <c:pt idx="3">
                    <c:v>1%</c:v>
                  </c:pt>
                  <c:pt idx="4">
                    <c:v>20%</c:v>
                  </c:pt>
                  <c:pt idx="5">
                    <c:v>12%</c:v>
                  </c:pt>
                  <c:pt idx="6">
                    <c:v>8%</c:v>
                  </c:pt>
                  <c:pt idx="7">
                    <c:v>6%</c:v>
                  </c:pt>
                  <c:pt idx="8">
                    <c:v>5%</c:v>
                  </c:pt>
                  <c:pt idx="9">
                    <c:v>7%</c:v>
                  </c:pt>
                  <c:pt idx="10">
                    <c:v>13%</c:v>
                  </c:pt>
                  <c:pt idx="11">
                    <c:v>15%</c:v>
                  </c:pt>
                  <c:pt idx="12">
                    <c:v>8%</c:v>
                  </c:pt>
                  <c:pt idx="13">
                    <c:v>13%</c:v>
                  </c:pt>
                  <c:pt idx="14">
                    <c:v>18%</c:v>
                  </c:pt>
                  <c:pt idx="15">
                    <c:v>26%</c:v>
                  </c:pt>
                  <c:pt idx="16">
                    <c:v>39%</c:v>
                  </c:pt>
                  <c:pt idx="17">
                    <c:v>28%</c:v>
                  </c:pt>
                  <c:pt idx="18">
                    <c:v>37%</c:v>
                  </c:pt>
                  <c:pt idx="19">
                    <c:v>42%</c:v>
                  </c:pt>
                  <c:pt idx="20">
                    <c:v>25%</c:v>
                  </c:pt>
                  <c:pt idx="21">
                    <c:v>20%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081270224"/>
        <c:axId val="1081269136"/>
      </c:barChart>
      <c:catAx>
        <c:axId val="1081270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Años de plantación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9136"/>
        <c:crosses val="autoZero"/>
        <c:auto val="1"/>
        <c:lblAlgn val="ctr"/>
        <c:lblOffset val="100"/>
        <c:noMultiLvlLbl val="0"/>
      </c:catAx>
      <c:valAx>
        <c:axId val="108126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 i="0" baseline="0">
                <a:solidFill>
                  <a:sysClr val="windowText" lastClr="000000"/>
                </a:solidFill>
              </a:rPr>
              <a:t>Pistacho (Secano):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aseline="0">
                <a:solidFill>
                  <a:sysClr val="windowText" lastClr="000000"/>
                </a:solidFill>
              </a:rPr>
              <a:t>Las 10 provincias con mayor superficie de plantaciones jóvenes </a:t>
            </a:r>
            <a:endParaRPr lang="en-US" sz="12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981958339082713"/>
          <c:y val="3.1917786470936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'PIS-EDAD'!$AJ$22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96633"/>
            </a:solidFill>
            <a:ln>
              <a:noFill/>
            </a:ln>
            <a:effectLst/>
          </c:spPr>
          <c:invertIfNegative val="0"/>
          <c:cat>
            <c:strRef>
              <c:f>'PIS-EDAD'!$AH$23:$AH$32</c:f>
              <c:strCache>
                <c:ptCount val="10"/>
                <c:pt idx="0">
                  <c:v>Toledo</c:v>
                </c:pt>
                <c:pt idx="1">
                  <c:v>Ciudad Real</c:v>
                </c:pt>
                <c:pt idx="2">
                  <c:v>Albacete</c:v>
                </c:pt>
                <c:pt idx="3">
                  <c:v>Cuenca</c:v>
                </c:pt>
                <c:pt idx="4">
                  <c:v>Granada</c:v>
                </c:pt>
                <c:pt idx="5">
                  <c:v>Badajoz</c:v>
                </c:pt>
                <c:pt idx="6">
                  <c:v>Valladolid</c:v>
                </c:pt>
                <c:pt idx="7">
                  <c:v>Zamora</c:v>
                </c:pt>
                <c:pt idx="8">
                  <c:v>Sevilla</c:v>
                </c:pt>
                <c:pt idx="9">
                  <c:v>Jaén</c:v>
                </c:pt>
              </c:strCache>
            </c:strRef>
          </c:cat>
          <c:val>
            <c:numRef>
              <c:f>'PIS-EDAD'!$AJ$23:$AJ$32</c:f>
              <c:numCache>
                <c:formatCode>#,##0</c:formatCode>
                <c:ptCount val="10"/>
                <c:pt idx="0">
                  <c:v>8318.77</c:v>
                </c:pt>
                <c:pt idx="1">
                  <c:v>8969.9300000000021</c:v>
                </c:pt>
                <c:pt idx="2">
                  <c:v>6881.86</c:v>
                </c:pt>
                <c:pt idx="3">
                  <c:v>4882.4399999999987</c:v>
                </c:pt>
                <c:pt idx="4">
                  <c:v>1079.6699999999998</c:v>
                </c:pt>
                <c:pt idx="5">
                  <c:v>1051.17</c:v>
                </c:pt>
                <c:pt idx="6">
                  <c:v>629.01</c:v>
                </c:pt>
                <c:pt idx="7">
                  <c:v>574.08000000000004</c:v>
                </c:pt>
                <c:pt idx="8">
                  <c:v>375.62000000000006</c:v>
                </c:pt>
                <c:pt idx="9">
                  <c:v>426.77</c:v>
                </c:pt>
              </c:numCache>
            </c:numRef>
          </c:val>
          <c:extLst/>
        </c:ser>
        <c:ser>
          <c:idx val="0"/>
          <c:order val="1"/>
          <c:tx>
            <c:strRef>
              <c:f>'PIS-EDAD'!$AI$22</c:f>
              <c:strCache>
                <c:ptCount val="1"/>
                <c:pt idx="0">
                  <c:v>Plan. Jóvenes</c:v>
                </c:pt>
              </c:strCache>
            </c:strRef>
          </c:tx>
          <c:spPr>
            <a:solidFill>
              <a:srgbClr val="D7AE85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E707773-82A6-4139-9262-10E04FF05ED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A747DE4-7569-4878-9DB0-94DF28E1CDE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B628C88-959A-4C73-95BF-E26166B4F44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19E4AA4B-2C22-4C5F-9207-D2ED1989405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81869F1-161F-4EA7-BFB8-DADD3AE22B6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0BF10573-42A3-43B5-9DE3-9FFC661238F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DDF0F633-DE71-40D7-A464-0059C3AC170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BE84413A-C877-47FD-AE85-174765A4017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0264B9E8-938D-42F0-9307-51F101D0144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1D944DA6-D5D9-4140-8CC7-E07B6347BFB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'PIS-EDAD'!$AH$23:$AH$32</c:f>
              <c:strCache>
                <c:ptCount val="10"/>
                <c:pt idx="0">
                  <c:v>Toledo</c:v>
                </c:pt>
                <c:pt idx="1">
                  <c:v>Ciudad Real</c:v>
                </c:pt>
                <c:pt idx="2">
                  <c:v>Albacete</c:v>
                </c:pt>
                <c:pt idx="3">
                  <c:v>Cuenca</c:v>
                </c:pt>
                <c:pt idx="4">
                  <c:v>Granada</c:v>
                </c:pt>
                <c:pt idx="5">
                  <c:v>Badajoz</c:v>
                </c:pt>
                <c:pt idx="6">
                  <c:v>Valladolid</c:v>
                </c:pt>
                <c:pt idx="7">
                  <c:v>Zamora</c:v>
                </c:pt>
                <c:pt idx="8">
                  <c:v>Sevilla</c:v>
                </c:pt>
                <c:pt idx="9">
                  <c:v>Jaén</c:v>
                </c:pt>
              </c:strCache>
            </c:strRef>
          </c:cat>
          <c:val>
            <c:numRef>
              <c:f>'PIS-EDAD'!$AI$23:$AI$32</c:f>
              <c:numCache>
                <c:formatCode>#,##0</c:formatCode>
                <c:ptCount val="10"/>
                <c:pt idx="0">
                  <c:v>5687.170000000001</c:v>
                </c:pt>
                <c:pt idx="1">
                  <c:v>5450.3100000000013</c:v>
                </c:pt>
                <c:pt idx="2">
                  <c:v>4931.62</c:v>
                </c:pt>
                <c:pt idx="3">
                  <c:v>3724.8999999999996</c:v>
                </c:pt>
                <c:pt idx="4">
                  <c:v>668.96</c:v>
                </c:pt>
                <c:pt idx="5">
                  <c:v>623.01</c:v>
                </c:pt>
                <c:pt idx="6">
                  <c:v>451.26</c:v>
                </c:pt>
                <c:pt idx="7">
                  <c:v>446.01</c:v>
                </c:pt>
                <c:pt idx="8">
                  <c:v>223.4</c:v>
                </c:pt>
                <c:pt idx="9">
                  <c:v>205.37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'PIS-EDAD'!$AK$23:$AK$32</c15:f>
                <c15:dlblRangeCache>
                  <c:ptCount val="10"/>
                  <c:pt idx="0">
                    <c:v>68%</c:v>
                  </c:pt>
                  <c:pt idx="1">
                    <c:v>61%</c:v>
                  </c:pt>
                  <c:pt idx="2">
                    <c:v>72%</c:v>
                  </c:pt>
                  <c:pt idx="3">
                    <c:v>76%</c:v>
                  </c:pt>
                  <c:pt idx="4">
                    <c:v>62%</c:v>
                  </c:pt>
                  <c:pt idx="5">
                    <c:v>59%</c:v>
                  </c:pt>
                  <c:pt idx="6">
                    <c:v>72%</c:v>
                  </c:pt>
                  <c:pt idx="7">
                    <c:v>78%</c:v>
                  </c:pt>
                  <c:pt idx="8">
                    <c:v>59%</c:v>
                  </c:pt>
                  <c:pt idx="9">
                    <c:v>48%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40"/>
        <c:axId val="1081270768"/>
        <c:axId val="1081258800"/>
      </c:barChart>
      <c:catAx>
        <c:axId val="108127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58800"/>
        <c:crosses val="autoZero"/>
        <c:auto val="1"/>
        <c:lblAlgn val="ctr"/>
        <c:lblOffset val="100"/>
        <c:noMultiLvlLbl val="0"/>
      </c:catAx>
      <c:valAx>
        <c:axId val="1081258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7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Frutos secos (secano): RSU REGEPA 2019 vs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'Frutos secos TOTAL'!$T$77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000000000000001E-2"/>
                  <c:y val="0"/>
                </c:manualLayout>
              </c:layout>
              <c:tx>
                <c:rich>
                  <a:bodyPr/>
                  <a:lstStyle/>
                  <a:p>
                    <a:fld id="{996DBA92-F7F3-4327-BE2C-E0B39BA94F3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2.7777777777777676E-2"/>
                  <c:y val="-4.6296296296297144E-3"/>
                </c:manualLayout>
              </c:layout>
              <c:tx>
                <c:rich>
                  <a:bodyPr/>
                  <a:lstStyle/>
                  <a:p>
                    <a:fld id="{1EFAD20E-DFCE-49A3-B34D-5FA9696D854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1.9444444444444445E-2"/>
                  <c:y val="-4.6296296296296294E-3"/>
                </c:manualLayout>
              </c:layout>
              <c:tx>
                <c:rich>
                  <a:bodyPr/>
                  <a:lstStyle/>
                  <a:p>
                    <a:fld id="{59A01E30-DF86-4C70-9CE2-E52B548C9FB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2.4999999999999897E-2"/>
                  <c:y val="0"/>
                </c:manualLayout>
              </c:layout>
              <c:tx>
                <c:rich>
                  <a:bodyPr/>
                  <a:lstStyle/>
                  <a:p>
                    <a:fld id="{627CF879-036F-4464-A60A-34E163ABD96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'Frutos secos TOTAL'!$S$78:$S$81</c:f>
              <c:strCache>
                <c:ptCount val="4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</c:strCache>
            </c:strRef>
          </c:cat>
          <c:val>
            <c:numRef>
              <c:f>'Frutos secos TOTAL'!$T$78:$T$81</c:f>
              <c:numCache>
                <c:formatCode>#,##0</c:formatCode>
                <c:ptCount val="4"/>
                <c:pt idx="0">
                  <c:v>481638.09</c:v>
                </c:pt>
                <c:pt idx="1">
                  <c:v>29554.829999999998</c:v>
                </c:pt>
                <c:pt idx="2">
                  <c:v>3461.3599999999997</c:v>
                </c:pt>
                <c:pt idx="3">
                  <c:v>13200.529999999999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'Frutos secos TOTAL'!$V$78:$V$81</c15:f>
                <c15:dlblRangeCache>
                  <c:ptCount val="4"/>
                  <c:pt idx="0">
                    <c:v>3,2%</c:v>
                  </c:pt>
                  <c:pt idx="1">
                    <c:v>24%</c:v>
                  </c:pt>
                  <c:pt idx="2">
                    <c:v>-4,3%</c:v>
                  </c:pt>
                  <c:pt idx="3">
                    <c:v>9%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'Frutos secos TOTAL'!$U$77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'Frutos secos TOTAL'!$S$78:$S$81</c:f>
              <c:strCache>
                <c:ptCount val="4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</c:strCache>
            </c:strRef>
          </c:cat>
          <c:val>
            <c:numRef>
              <c:f>'Frutos secos TOTAL'!$U$78:$U$81</c:f>
              <c:numCache>
                <c:formatCode>#,##0</c:formatCode>
                <c:ptCount val="4"/>
                <c:pt idx="0">
                  <c:v>497047.77999999985</c:v>
                </c:pt>
                <c:pt idx="1">
                  <c:v>36509.740000000005</c:v>
                </c:pt>
                <c:pt idx="2">
                  <c:v>3310.98</c:v>
                </c:pt>
                <c:pt idx="3">
                  <c:v>14371.140000000003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0220464"/>
        <c:axId val="970221008"/>
      </c:barChart>
      <c:catAx>
        <c:axId val="97022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1008"/>
        <c:crosses val="autoZero"/>
        <c:auto val="1"/>
        <c:lblAlgn val="ctr"/>
        <c:lblOffset val="100"/>
        <c:noMultiLvlLbl val="0"/>
      </c:catAx>
      <c:valAx>
        <c:axId val="97022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Pistacho</a:t>
            </a:r>
            <a:r>
              <a:rPr lang="es-ES" b="1" baseline="0">
                <a:solidFill>
                  <a:sysClr val="windowText" lastClr="000000"/>
                </a:solidFill>
              </a:rPr>
              <a:t> </a:t>
            </a:r>
            <a:r>
              <a:rPr lang="es-ES" b="1">
                <a:solidFill>
                  <a:sysClr val="windowText" lastClr="000000"/>
                </a:solidFill>
              </a:rPr>
              <a:t>(Secano):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Plantaciones</a:t>
            </a:r>
            <a:r>
              <a:rPr lang="es-ES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6228974665560914"/>
          <c:y val="2.43902439024390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'PIS-EDAD'!$AS$6</c:f>
              <c:strCache>
                <c:ptCount val="1"/>
                <c:pt idx="0">
                  <c:v>Plan. Joven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F081EBF-BA5B-407F-A4EE-FF8482B6A68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FFEFB77-2DD6-4ED7-B336-8D206A62965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30F0A9E-F199-47D3-A1C0-7786E4CF48C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908BF49-B504-4F0C-B71B-2955EFC556C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0717535-6CBD-42E9-B10B-AF6F2FEBCB2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'PIS-EDAD'!$AR$7:$AR$11</c:f>
              <c:strCache>
                <c:ptCount val="5"/>
                <c:pt idx="0">
                  <c:v>C.-LA MANCHA</c:v>
                </c:pt>
                <c:pt idx="1">
                  <c:v>ANDALUCÍA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'PIS-EDAD'!$AS$7:$AS$11</c:f>
              <c:numCache>
                <c:formatCode>#,##0</c:formatCode>
                <c:ptCount val="5"/>
                <c:pt idx="0">
                  <c:v>19923.780000000002</c:v>
                </c:pt>
                <c:pt idx="1">
                  <c:v>1620.6699999999998</c:v>
                </c:pt>
                <c:pt idx="2">
                  <c:v>1309.3</c:v>
                </c:pt>
                <c:pt idx="3">
                  <c:v>671.68999999999994</c:v>
                </c:pt>
                <c:pt idx="4">
                  <c:v>302.57000000000005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'PIS-EDAD'!$AU$7:$AU$11</c15:f>
                <c15:dlblRangeCache>
                  <c:ptCount val="5"/>
                  <c:pt idx="0">
                    <c:v>68%</c:v>
                  </c:pt>
                  <c:pt idx="1">
                    <c:v>56%</c:v>
                  </c:pt>
                  <c:pt idx="2">
                    <c:v>74%</c:v>
                  </c:pt>
                  <c:pt idx="3">
                    <c:v>59%</c:v>
                  </c:pt>
                  <c:pt idx="4">
                    <c:v>79%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'PIS-EDAD'!$AT$6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rgbClr val="663300"/>
                </a:gs>
                <a:gs pos="50000">
                  <a:srgbClr val="996633"/>
                </a:gs>
                <a:gs pos="100000">
                  <a:srgbClr val="D7AE85"/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cat>
            <c:strRef>
              <c:f>'PIS-EDAD'!$AR$7:$AR$11</c:f>
              <c:strCache>
                <c:ptCount val="5"/>
                <c:pt idx="0">
                  <c:v>C.-LA MANCHA</c:v>
                </c:pt>
                <c:pt idx="1">
                  <c:v>ANDALUCÍA</c:v>
                </c:pt>
                <c:pt idx="2">
                  <c:v>C. Y LEÓN</c:v>
                </c:pt>
                <c:pt idx="3">
                  <c:v>EXTREMADURA</c:v>
                </c:pt>
                <c:pt idx="4">
                  <c:v>ARAGÓN</c:v>
                </c:pt>
              </c:strCache>
            </c:strRef>
          </c:cat>
          <c:val>
            <c:numRef>
              <c:f>'PIS-EDAD'!$AT$7:$AT$11</c:f>
              <c:numCache>
                <c:formatCode>#,##0</c:formatCode>
                <c:ptCount val="5"/>
                <c:pt idx="0">
                  <c:v>29250.86</c:v>
                </c:pt>
                <c:pt idx="1">
                  <c:v>2889.2899999999995</c:v>
                </c:pt>
                <c:pt idx="2">
                  <c:v>1761.67</c:v>
                </c:pt>
                <c:pt idx="3">
                  <c:v>1140.9099999999999</c:v>
                </c:pt>
                <c:pt idx="4">
                  <c:v>383.07000000000005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1271856"/>
        <c:axId val="1081268048"/>
      </c:barChart>
      <c:catAx>
        <c:axId val="108127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8048"/>
        <c:crosses val="autoZero"/>
        <c:auto val="1"/>
        <c:lblAlgn val="ctr"/>
        <c:lblOffset val="100"/>
        <c:noMultiLvlLbl val="0"/>
      </c:catAx>
      <c:valAx>
        <c:axId val="108126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7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Pistacho (Regadío):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Plantaciones</a:t>
            </a:r>
            <a:r>
              <a:rPr lang="es-ES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2295708342517132"/>
          <c:y val="4.22535164407767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'PIS-EDAD'!$AS$76</c:f>
              <c:strCache>
                <c:ptCount val="1"/>
                <c:pt idx="0">
                  <c:v>Plantaciones jóvenes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75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92AF7D1-A66A-4275-BD30-D846E14AA9E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8F1B788-EA56-48E5-BFA8-7CF42E478C5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D66D786-C974-4E09-85A7-C8E27BD9E7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747AE89-4D89-44D4-8F6A-62DF12FBBAC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7C04CB5-00DE-4EED-9152-5E5FC89AE69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836E900-4834-4BF7-93CE-90BDF82DA8A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'PIS-EDAD'!$AR$77:$AR$82</c:f>
              <c:strCache>
                <c:ptCount val="6"/>
                <c:pt idx="0">
                  <c:v>C.-LA MANCHA</c:v>
                </c:pt>
                <c:pt idx="1">
                  <c:v>ANDALUCÍA</c:v>
                </c:pt>
                <c:pt idx="2">
                  <c:v>ARAGÓN</c:v>
                </c:pt>
                <c:pt idx="3">
                  <c:v>C. Y LEÓN</c:v>
                </c:pt>
                <c:pt idx="4">
                  <c:v>EXTREMADURA</c:v>
                </c:pt>
                <c:pt idx="5">
                  <c:v>CATALUÑA</c:v>
                </c:pt>
              </c:strCache>
            </c:strRef>
          </c:cat>
          <c:val>
            <c:numRef>
              <c:f>'PIS-EDAD'!$AS$77:$AS$82</c:f>
              <c:numCache>
                <c:formatCode>#,##0</c:formatCode>
                <c:ptCount val="6"/>
                <c:pt idx="0">
                  <c:v>4821.71</c:v>
                </c:pt>
                <c:pt idx="1">
                  <c:v>391.66</c:v>
                </c:pt>
                <c:pt idx="2">
                  <c:v>272.49</c:v>
                </c:pt>
                <c:pt idx="3">
                  <c:v>253.34</c:v>
                </c:pt>
                <c:pt idx="4">
                  <c:v>181.82999999999998</c:v>
                </c:pt>
                <c:pt idx="5">
                  <c:v>109.93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'PIS-EDAD'!$AU$77:$AU$82</c15:f>
                <c15:dlblRangeCache>
                  <c:ptCount val="6"/>
                  <c:pt idx="0">
                    <c:v>56%</c:v>
                  </c:pt>
                  <c:pt idx="1">
                    <c:v>39%</c:v>
                  </c:pt>
                  <c:pt idx="2">
                    <c:v>69%</c:v>
                  </c:pt>
                  <c:pt idx="3">
                    <c:v>52%</c:v>
                  </c:pt>
                  <c:pt idx="4">
                    <c:v>43%</c:v>
                  </c:pt>
                  <c:pt idx="5">
                    <c:v>34%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'PIS-EDAD'!$AT$76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cat>
            <c:strRef>
              <c:f>'PIS-EDAD'!$AR$77:$AR$82</c:f>
              <c:strCache>
                <c:ptCount val="6"/>
                <c:pt idx="0">
                  <c:v>C.-LA MANCHA</c:v>
                </c:pt>
                <c:pt idx="1">
                  <c:v>ANDALUCÍA</c:v>
                </c:pt>
                <c:pt idx="2">
                  <c:v>ARAGÓN</c:v>
                </c:pt>
                <c:pt idx="3">
                  <c:v>C. Y LEÓN</c:v>
                </c:pt>
                <c:pt idx="4">
                  <c:v>EXTREMADURA</c:v>
                </c:pt>
                <c:pt idx="5">
                  <c:v>CATALUÑA</c:v>
                </c:pt>
              </c:strCache>
            </c:strRef>
          </c:cat>
          <c:val>
            <c:numRef>
              <c:f>'PIS-EDAD'!$AT$77:$AT$82</c:f>
              <c:numCache>
                <c:formatCode>#,##0</c:formatCode>
                <c:ptCount val="6"/>
                <c:pt idx="0">
                  <c:v>8552.44</c:v>
                </c:pt>
                <c:pt idx="1">
                  <c:v>1015.4</c:v>
                </c:pt>
                <c:pt idx="2">
                  <c:v>396.17</c:v>
                </c:pt>
                <c:pt idx="3">
                  <c:v>486.87</c:v>
                </c:pt>
                <c:pt idx="4">
                  <c:v>424.34</c:v>
                </c:pt>
                <c:pt idx="5">
                  <c:v>323.35000000000002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1259344"/>
        <c:axId val="1081265328"/>
      </c:barChart>
      <c:catAx>
        <c:axId val="108125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5328"/>
        <c:crosses val="autoZero"/>
        <c:auto val="1"/>
        <c:lblAlgn val="ctr"/>
        <c:lblOffset val="100"/>
        <c:noMultiLvlLbl val="0"/>
      </c:catAx>
      <c:valAx>
        <c:axId val="108126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5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21083827389553"/>
          <c:y val="0.89311690217179751"/>
          <c:w val="0.39354700778498164"/>
          <c:h val="8.15309879637365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Pistacho (Secano)</a:t>
            </a:r>
          </a:p>
          <a:p>
            <a:pPr>
              <a:defRPr sz="1800">
                <a:solidFill>
                  <a:sysClr val="windowText" lastClr="000000"/>
                </a:solidFill>
              </a:defRPr>
            </a:pPr>
            <a:r>
              <a:rPr lang="en-US" sz="1800">
                <a:solidFill>
                  <a:sysClr val="windowText" lastClr="000000"/>
                </a:solidFill>
              </a:rPr>
              <a:t>Edades de plantación (2000 -2020)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'PIS-EDAD'!$A$56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CB9763"/>
            </a:solidFill>
            <a:ln>
              <a:noFill/>
            </a:ln>
            <a:effectLst/>
          </c:spPr>
          <c:invertIfNegative val="0"/>
          <c:cat>
            <c:strRef>
              <c:f>'PIS-EDAD'!$B$4:$W$4</c:f>
              <c:strCache>
                <c:ptCount val="22"/>
                <c:pt idx="0">
                  <c:v>&lt;2,000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'PIS-EDAD'!$B$56:$W$56</c:f>
              <c:numCache>
                <c:formatCode>#,##0</c:formatCode>
                <c:ptCount val="22"/>
                <c:pt idx="0">
                  <c:v>361.1</c:v>
                </c:pt>
                <c:pt idx="1">
                  <c:v>309</c:v>
                </c:pt>
                <c:pt idx="2">
                  <c:v>103.04</c:v>
                </c:pt>
                <c:pt idx="3">
                  <c:v>121.31</c:v>
                </c:pt>
                <c:pt idx="4">
                  <c:v>105.14999999999999</c:v>
                </c:pt>
                <c:pt idx="5">
                  <c:v>170.28</c:v>
                </c:pt>
                <c:pt idx="6">
                  <c:v>170.11999999999998</c:v>
                </c:pt>
                <c:pt idx="7">
                  <c:v>234.92</c:v>
                </c:pt>
                <c:pt idx="8">
                  <c:v>161.66999999999999</c:v>
                </c:pt>
                <c:pt idx="9">
                  <c:v>119.08000000000001</c:v>
                </c:pt>
                <c:pt idx="10">
                  <c:v>278.35999999999996</c:v>
                </c:pt>
                <c:pt idx="11">
                  <c:v>446.05</c:v>
                </c:pt>
                <c:pt idx="12">
                  <c:v>437.1</c:v>
                </c:pt>
                <c:pt idx="13">
                  <c:v>585.83000000000004</c:v>
                </c:pt>
                <c:pt idx="14">
                  <c:v>753.43</c:v>
                </c:pt>
                <c:pt idx="15">
                  <c:v>1178.0900000000001</c:v>
                </c:pt>
                <c:pt idx="16">
                  <c:v>2979.1799999999994</c:v>
                </c:pt>
                <c:pt idx="17">
                  <c:v>3563.0700000000011</c:v>
                </c:pt>
                <c:pt idx="18">
                  <c:v>4777.4800000000005</c:v>
                </c:pt>
                <c:pt idx="19">
                  <c:v>6945.0000000000009</c:v>
                </c:pt>
                <c:pt idx="20">
                  <c:v>7407.4000000000005</c:v>
                </c:pt>
                <c:pt idx="21">
                  <c:v>5148.91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EC-4CCD-A2C2-F64AB584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081265872"/>
        <c:axId val="1081272400"/>
      </c:barChart>
      <c:catAx>
        <c:axId val="1081265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72400"/>
        <c:crosses val="autoZero"/>
        <c:auto val="1"/>
        <c:lblAlgn val="ctr"/>
        <c:lblOffset val="100"/>
        <c:noMultiLvlLbl val="0"/>
      </c:catAx>
      <c:valAx>
        <c:axId val="108127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Pistacho (Regadío)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Edades de plantación (2000 -2020)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'PIS-EDAD'!$A$124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'PIS-EDAD'!$B$76:$W$76</c:f>
              <c:strCache>
                <c:ptCount val="22"/>
                <c:pt idx="0">
                  <c:v>&lt;2.000</c:v>
                </c:pt>
                <c:pt idx="1">
                  <c:v>2.000</c:v>
                </c:pt>
                <c:pt idx="2">
                  <c:v>2.001</c:v>
                </c:pt>
                <c:pt idx="3">
                  <c:v>2.002</c:v>
                </c:pt>
                <c:pt idx="4">
                  <c:v>2.003</c:v>
                </c:pt>
                <c:pt idx="5">
                  <c:v>2.004</c:v>
                </c:pt>
                <c:pt idx="6">
                  <c:v>2.005</c:v>
                </c:pt>
                <c:pt idx="7">
                  <c:v>2.006</c:v>
                </c:pt>
                <c:pt idx="8">
                  <c:v>2.007</c:v>
                </c:pt>
                <c:pt idx="9">
                  <c:v>2.008</c:v>
                </c:pt>
                <c:pt idx="10">
                  <c:v>2.009</c:v>
                </c:pt>
                <c:pt idx="11">
                  <c:v>2.010</c:v>
                </c:pt>
                <c:pt idx="12">
                  <c:v>2.011</c:v>
                </c:pt>
                <c:pt idx="13">
                  <c:v>2.012</c:v>
                </c:pt>
                <c:pt idx="14">
                  <c:v>2.013</c:v>
                </c:pt>
                <c:pt idx="15">
                  <c:v>2.014</c:v>
                </c:pt>
                <c:pt idx="16">
                  <c:v>2.015</c:v>
                </c:pt>
                <c:pt idx="17">
                  <c:v>2.016</c:v>
                </c:pt>
                <c:pt idx="18">
                  <c:v>2.017</c:v>
                </c:pt>
                <c:pt idx="19">
                  <c:v>2.018</c:v>
                </c:pt>
                <c:pt idx="20">
                  <c:v>2.019</c:v>
                </c:pt>
                <c:pt idx="21">
                  <c:v>2.020</c:v>
                </c:pt>
              </c:strCache>
            </c:strRef>
          </c:cat>
          <c:val>
            <c:numRef>
              <c:f>'PIS-EDAD'!$B$124:$W$124</c:f>
              <c:numCache>
                <c:formatCode>#,##0</c:formatCode>
                <c:ptCount val="22"/>
                <c:pt idx="0">
                  <c:v>317.95999999999998</c:v>
                </c:pt>
                <c:pt idx="1">
                  <c:v>184.42</c:v>
                </c:pt>
                <c:pt idx="2">
                  <c:v>38.79</c:v>
                </c:pt>
                <c:pt idx="3">
                  <c:v>7.5</c:v>
                </c:pt>
                <c:pt idx="4">
                  <c:v>111.67999999999999</c:v>
                </c:pt>
                <c:pt idx="5">
                  <c:v>80.180000000000007</c:v>
                </c:pt>
                <c:pt idx="6">
                  <c:v>62.24</c:v>
                </c:pt>
                <c:pt idx="7">
                  <c:v>49.36</c:v>
                </c:pt>
                <c:pt idx="8">
                  <c:v>38.619999999999997</c:v>
                </c:pt>
                <c:pt idx="9">
                  <c:v>63.330000000000005</c:v>
                </c:pt>
                <c:pt idx="10">
                  <c:v>125.48</c:v>
                </c:pt>
                <c:pt idx="11">
                  <c:v>165.08</c:v>
                </c:pt>
                <c:pt idx="12">
                  <c:v>104.25</c:v>
                </c:pt>
                <c:pt idx="13">
                  <c:v>174.32999999999998</c:v>
                </c:pt>
                <c:pt idx="14">
                  <c:v>273.3</c:v>
                </c:pt>
                <c:pt idx="15">
                  <c:v>463.06999999999994</c:v>
                </c:pt>
                <c:pt idx="16">
                  <c:v>878</c:v>
                </c:pt>
                <c:pt idx="17">
                  <c:v>870.27</c:v>
                </c:pt>
                <c:pt idx="18">
                  <c:v>1488.8999999999996</c:v>
                </c:pt>
                <c:pt idx="19">
                  <c:v>2331.4500000000003</c:v>
                </c:pt>
                <c:pt idx="20">
                  <c:v>1932.2199999999996</c:v>
                </c:pt>
                <c:pt idx="21">
                  <c:v>1947.4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EC-4CCD-A2C2-F64AB584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081260432"/>
        <c:axId val="1081269680"/>
      </c:barChart>
      <c:catAx>
        <c:axId val="1081260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9680"/>
        <c:crosses val="autoZero"/>
        <c:auto val="1"/>
        <c:lblAlgn val="ctr"/>
        <c:lblOffset val="100"/>
        <c:noMultiLvlLbl val="0"/>
      </c:catAx>
      <c:valAx>
        <c:axId val="108126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Castaño: ESPAÑA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(Edades de Plantación)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D7AE8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'CAS-EDAD'!$B$3:$W$3</c15:sqref>
                  </c15:fullRef>
                </c:ext>
              </c:extLst>
              <c:f>'CAS-EDAD'!$C$3:$W$3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'CAS-EDAD'!$B$41:$W$41</c15:sqref>
                  </c15:fullRef>
                </c:ext>
              </c:extLst>
              <c:f>'CAS-EDAD'!$C$41:$W$41</c:f>
              <c:numCache>
                <c:formatCode>#,##0</c:formatCode>
                <c:ptCount val="21"/>
                <c:pt idx="0">
                  <c:v>364.88</c:v>
                </c:pt>
                <c:pt idx="1">
                  <c:v>20.240000000000002</c:v>
                </c:pt>
                <c:pt idx="2">
                  <c:v>19.689999999999998</c:v>
                </c:pt>
                <c:pt idx="3">
                  <c:v>51.519999999999996</c:v>
                </c:pt>
                <c:pt idx="4">
                  <c:v>37.94</c:v>
                </c:pt>
                <c:pt idx="5">
                  <c:v>74.709999999999994</c:v>
                </c:pt>
                <c:pt idx="6">
                  <c:v>53.62</c:v>
                </c:pt>
                <c:pt idx="7">
                  <c:v>38.54</c:v>
                </c:pt>
                <c:pt idx="8">
                  <c:v>36.840000000000003</c:v>
                </c:pt>
                <c:pt idx="9">
                  <c:v>48.480000000000004</c:v>
                </c:pt>
                <c:pt idx="10">
                  <c:v>153.80000000000001</c:v>
                </c:pt>
                <c:pt idx="11">
                  <c:v>24.799999999999997</c:v>
                </c:pt>
                <c:pt idx="12">
                  <c:v>57.42</c:v>
                </c:pt>
                <c:pt idx="13">
                  <c:v>78.41</c:v>
                </c:pt>
                <c:pt idx="14">
                  <c:v>147.19999999999999</c:v>
                </c:pt>
                <c:pt idx="15">
                  <c:v>206.39</c:v>
                </c:pt>
                <c:pt idx="16">
                  <c:v>115.62</c:v>
                </c:pt>
                <c:pt idx="17">
                  <c:v>171.87</c:v>
                </c:pt>
                <c:pt idx="18">
                  <c:v>126.03999999999999</c:v>
                </c:pt>
                <c:pt idx="19">
                  <c:v>75.210000000000008</c:v>
                </c:pt>
                <c:pt idx="20">
                  <c:v>47.430000000000007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F-4A29-96CB-C524076E4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1259888"/>
        <c:axId val="1081261520"/>
      </c:barChart>
      <c:catAx>
        <c:axId val="1081259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ysClr val="windowText" lastClr="000000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4162130408241701"/>
              <c:y val="0.914430151145032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15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8126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5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Castaño: Sin info de edad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'CAS-EDAD'!$A$46:$A$56</c15:sqref>
                  </c15:fullRef>
                </c:ext>
              </c:extLst>
              <c:f>('CAS-EDAD'!$A$46:$A$47,'CAS-EDAD'!$A$52,'CAS-EDAD'!$A$54)</c:f>
              <c:strCache>
                <c:ptCount val="4"/>
                <c:pt idx="0">
                  <c:v>ANDALUCÍA</c:v>
                </c:pt>
                <c:pt idx="1">
                  <c:v>ASTURIAS</c:v>
                </c:pt>
                <c:pt idx="2">
                  <c:v>C. y LEÓN</c:v>
                </c:pt>
                <c:pt idx="3">
                  <c:v>GALICIA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'CAS-EDAD'!$X$46:$X$56</c15:sqref>
                  </c15:fullRef>
                </c:ext>
              </c:extLst>
              <c:f>('CAS-EDAD'!$X$46:$X$47,'CAS-EDAD'!$X$52,'CAS-EDAD'!$X$54)</c:f>
              <c:numCache>
                <c:formatCode>0.0%</c:formatCode>
                <c:ptCount val="4"/>
                <c:pt idx="0" formatCode="0.00%">
                  <c:v>4.1131226701480094E-3</c:v>
                </c:pt>
                <c:pt idx="1">
                  <c:v>3.3009708737864074E-2</c:v>
                </c:pt>
                <c:pt idx="2" formatCode="0.00%">
                  <c:v>5.0802761188241683E-3</c:v>
                </c:pt>
                <c:pt idx="3">
                  <c:v>9.1433691904965388E-3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68F-47D0-AD22-DA0B32C6F3E9}"/>
            </c:ext>
            <c:ext xmlns:c15="http://schemas.microsoft.com/office/drawing/2012/chart" uri="{02D57815-91ED-43cb-92C2-25804820EDAC}">
              <c15:categoryFilterExceptions>
                <c15:categoryFilterException>
                  <c15:sqref>'CAS-EDAD'!$X$56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1272944"/>
        <c:axId val="1081260976"/>
      </c:barChart>
      <c:catAx>
        <c:axId val="1081272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0976"/>
        <c:crosses val="autoZero"/>
        <c:auto val="1"/>
        <c:lblAlgn val="ctr"/>
        <c:lblOffset val="100"/>
        <c:noMultiLvlLbl val="0"/>
      </c:catAx>
      <c:valAx>
        <c:axId val="1081260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7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ysClr val="windowText" lastClr="000000"/>
                </a:solidFill>
              </a:rPr>
              <a:t>Castaño:</a:t>
            </a:r>
            <a:r>
              <a:rPr lang="es-ES" sz="1600" b="1" baseline="0">
                <a:solidFill>
                  <a:sysClr val="windowText" lastClr="000000"/>
                </a:solidFill>
              </a:rPr>
              <a:t> </a:t>
            </a:r>
            <a:r>
              <a:rPr lang="es-ES" sz="1600" baseline="0">
                <a:solidFill>
                  <a:sysClr val="windowText" lastClr="000000"/>
                </a:solidFill>
              </a:rPr>
              <a:t>Andalucía, Extremadura y Galicia</a:t>
            </a:r>
            <a:endParaRPr lang="es-ES" sz="1600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'CAS-EDAD'!$A$4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'CAS-EDAD'!$B$3:$W$3</c15:sqref>
                  </c15:fullRef>
                </c:ext>
              </c:extLst>
              <c:f>'CAS-EDAD'!$C$3:$W$3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'CAS-EDAD'!$B$4:$W$4</c15:sqref>
                  </c15:fullRef>
                </c:ext>
              </c:extLst>
              <c:f>'CAS-EDAD'!$C$4:$W$4</c:f>
              <c:numCache>
                <c:formatCode>#,##0</c:formatCode>
                <c:ptCount val="21"/>
                <c:pt idx="0">
                  <c:v>5.91</c:v>
                </c:pt>
                <c:pt idx="2">
                  <c:v>3.27</c:v>
                </c:pt>
                <c:pt idx="3">
                  <c:v>15.24</c:v>
                </c:pt>
                <c:pt idx="4">
                  <c:v>2.1800000000000002</c:v>
                </c:pt>
                <c:pt idx="6">
                  <c:v>16.239999999999998</c:v>
                </c:pt>
                <c:pt idx="7">
                  <c:v>1.84</c:v>
                </c:pt>
                <c:pt idx="8">
                  <c:v>1.37</c:v>
                </c:pt>
                <c:pt idx="10">
                  <c:v>3.01</c:v>
                </c:pt>
                <c:pt idx="11">
                  <c:v>1.47</c:v>
                </c:pt>
                <c:pt idx="13">
                  <c:v>9.1199999999999992</c:v>
                </c:pt>
                <c:pt idx="14">
                  <c:v>6.8100000000000005</c:v>
                </c:pt>
                <c:pt idx="15">
                  <c:v>6.66</c:v>
                </c:pt>
                <c:pt idx="16">
                  <c:v>1.73</c:v>
                </c:pt>
                <c:pt idx="18">
                  <c:v>2.1800000000000002</c:v>
                </c:pt>
                <c:pt idx="19">
                  <c:v>2.66</c:v>
                </c:pt>
                <c:pt idx="20">
                  <c:v>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D8-4D57-93DD-F41A39EEA6E1}"/>
            </c:ext>
          </c:extLst>
        </c:ser>
        <c:ser>
          <c:idx val="1"/>
          <c:order val="1"/>
          <c:tx>
            <c:strRef>
              <c:f>'CAS-EDAD'!$A$29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'CAS-EDAD'!$B$3:$W$3</c15:sqref>
                  </c15:fullRef>
                </c:ext>
              </c:extLst>
              <c:f>'CAS-EDAD'!$C$3:$W$3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'CAS-EDAD'!$B$29:$W$29</c15:sqref>
                  </c15:fullRef>
                </c:ext>
              </c:extLst>
              <c:f>'CAS-EDAD'!$C$29:$W$29</c:f>
              <c:numCache>
                <c:formatCode>#,##0</c:formatCode>
                <c:ptCount val="21"/>
                <c:pt idx="0">
                  <c:v>203.57999999999998</c:v>
                </c:pt>
                <c:pt idx="1">
                  <c:v>12.54</c:v>
                </c:pt>
                <c:pt idx="2">
                  <c:v>7.26</c:v>
                </c:pt>
                <c:pt idx="3">
                  <c:v>10.580000000000002</c:v>
                </c:pt>
                <c:pt idx="4">
                  <c:v>15.940000000000001</c:v>
                </c:pt>
                <c:pt idx="5">
                  <c:v>37.480000000000004</c:v>
                </c:pt>
                <c:pt idx="6">
                  <c:v>31.2</c:v>
                </c:pt>
                <c:pt idx="7">
                  <c:v>29.290000000000003</c:v>
                </c:pt>
                <c:pt idx="8">
                  <c:v>18.36</c:v>
                </c:pt>
                <c:pt idx="9">
                  <c:v>22.650000000000002</c:v>
                </c:pt>
                <c:pt idx="10">
                  <c:v>93.2</c:v>
                </c:pt>
                <c:pt idx="11">
                  <c:v>16.61</c:v>
                </c:pt>
                <c:pt idx="12">
                  <c:v>39.379999999999995</c:v>
                </c:pt>
                <c:pt idx="13">
                  <c:v>29.36</c:v>
                </c:pt>
                <c:pt idx="14">
                  <c:v>69.72</c:v>
                </c:pt>
                <c:pt idx="15">
                  <c:v>129.42000000000002</c:v>
                </c:pt>
                <c:pt idx="16">
                  <c:v>26.3</c:v>
                </c:pt>
                <c:pt idx="17">
                  <c:v>25.71</c:v>
                </c:pt>
                <c:pt idx="18">
                  <c:v>35.25</c:v>
                </c:pt>
                <c:pt idx="19">
                  <c:v>23.62</c:v>
                </c:pt>
                <c:pt idx="20">
                  <c:v>24.11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D8-4D57-93DD-F41A39EEA6E1}"/>
            </c:ext>
          </c:extLst>
        </c:ser>
        <c:ser>
          <c:idx val="2"/>
          <c:order val="2"/>
          <c:tx>
            <c:strRef>
              <c:f>'CAS-EDAD'!$A$32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'CAS-EDAD'!$B$3:$W$3</c15:sqref>
                  </c15:fullRef>
                </c:ext>
              </c:extLst>
              <c:f>'CAS-EDAD'!$C$3:$W$3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'CAS-EDAD'!$B$32:$W$32</c15:sqref>
                  </c15:fullRef>
                </c:ext>
              </c:extLst>
              <c:f>'CAS-EDAD'!$C$32:$W$32</c:f>
              <c:numCache>
                <c:formatCode>#,##0</c:formatCode>
                <c:ptCount val="21"/>
                <c:pt idx="0">
                  <c:v>106.34</c:v>
                </c:pt>
                <c:pt idx="1">
                  <c:v>7.7</c:v>
                </c:pt>
                <c:pt idx="2">
                  <c:v>7.84</c:v>
                </c:pt>
                <c:pt idx="3">
                  <c:v>22.220000000000002</c:v>
                </c:pt>
                <c:pt idx="4">
                  <c:v>19.079999999999998</c:v>
                </c:pt>
                <c:pt idx="5">
                  <c:v>29.71</c:v>
                </c:pt>
                <c:pt idx="6">
                  <c:v>5.83</c:v>
                </c:pt>
                <c:pt idx="7">
                  <c:v>5.5</c:v>
                </c:pt>
                <c:pt idx="8">
                  <c:v>16.48</c:v>
                </c:pt>
                <c:pt idx="9">
                  <c:v>20.84</c:v>
                </c:pt>
                <c:pt idx="10">
                  <c:v>45.88</c:v>
                </c:pt>
                <c:pt idx="11">
                  <c:v>4.7999999999999989</c:v>
                </c:pt>
                <c:pt idx="12">
                  <c:v>16.34</c:v>
                </c:pt>
                <c:pt idx="13">
                  <c:v>33.260000000000005</c:v>
                </c:pt>
                <c:pt idx="14">
                  <c:v>55.23</c:v>
                </c:pt>
                <c:pt idx="15">
                  <c:v>60.519999999999996</c:v>
                </c:pt>
                <c:pt idx="16">
                  <c:v>78.290000000000006</c:v>
                </c:pt>
                <c:pt idx="17">
                  <c:v>141.06000000000003</c:v>
                </c:pt>
                <c:pt idx="18">
                  <c:v>58.08</c:v>
                </c:pt>
                <c:pt idx="19">
                  <c:v>44.510000000000005</c:v>
                </c:pt>
                <c:pt idx="20">
                  <c:v>15.479999999999999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D8-4D57-93DD-F41A39EEA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1263696"/>
        <c:axId val="1081264240"/>
      </c:barChart>
      <c:catAx>
        <c:axId val="1081263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4436205822824226"/>
              <c:y val="0.83400026422381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4240"/>
        <c:crosses val="autoZero"/>
        <c:auto val="1"/>
        <c:lblAlgn val="ctr"/>
        <c:lblOffset val="100"/>
        <c:noMultiLvlLbl val="0"/>
      </c:catAx>
      <c:valAx>
        <c:axId val="108126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126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ysClr val="windowText" lastClr="000000"/>
                </a:solidFill>
              </a:rPr>
              <a:t>Castaño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400">
                <a:solidFill>
                  <a:sysClr val="windowText" lastClr="000000"/>
                </a:solidFill>
              </a:rPr>
              <a:t>Plantaciones</a:t>
            </a:r>
            <a:r>
              <a:rPr lang="es-ES" sz="1400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 sz="1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5356091945135339"/>
          <c:y val="2.85282619029854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'CAS-EDAD'!$AR$3</c:f>
              <c:strCache>
                <c:ptCount val="1"/>
                <c:pt idx="0">
                  <c:v>Plan. Joven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47F9F2C-7721-4821-AD0F-7FE517E8260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3D8D163-2410-4B54-B767-771D3628598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468982B-EB53-4360-AFB1-5196B1BEDBB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63ED9B9-0170-4B3D-96C3-84F522776A4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'CAS-EDAD'!$AQ$4:$AQ$7</c:f>
              <c:strCache>
                <c:ptCount val="4"/>
                <c:pt idx="0">
                  <c:v>GALICIA</c:v>
                </c:pt>
                <c:pt idx="1">
                  <c:v>EXTREMADURA</c:v>
                </c:pt>
                <c:pt idx="2">
                  <c:v>C. Y LEÓN</c:v>
                </c:pt>
                <c:pt idx="3">
                  <c:v>ANDALUCÍA</c:v>
                </c:pt>
              </c:strCache>
            </c:strRef>
          </c:cat>
          <c:val>
            <c:numRef>
              <c:f>'CAS-EDAD'!$AR$4:$AR$7</c:f>
              <c:numCache>
                <c:formatCode>#,##0</c:formatCode>
                <c:ptCount val="4"/>
                <c:pt idx="0">
                  <c:v>259.13000000000005</c:v>
                </c:pt>
                <c:pt idx="1">
                  <c:v>108.69</c:v>
                </c:pt>
                <c:pt idx="2">
                  <c:v>42.899999999999991</c:v>
                </c:pt>
                <c:pt idx="3">
                  <c:v>7.4499999999999993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'CAS-EDAD'!$AT$4:$AT$7</c15:f>
                <c15:dlblRangeCache>
                  <c:ptCount val="4"/>
                  <c:pt idx="0">
                    <c:v>11%</c:v>
                  </c:pt>
                  <c:pt idx="1">
                    <c:v>3%</c:v>
                  </c:pt>
                  <c:pt idx="2">
                    <c:v>17%</c:v>
                  </c:pt>
                  <c:pt idx="3">
                    <c:v>0%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'CAS-EDAD'!$AS$3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rgbClr val="663300"/>
                </a:gs>
                <a:gs pos="50000">
                  <a:srgbClr val="996633"/>
                </a:gs>
                <a:gs pos="100000">
                  <a:srgbClr val="CB9763"/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'CAS-EDAD'!$AQ$4:$AQ$7</c:f>
              <c:strCache>
                <c:ptCount val="4"/>
                <c:pt idx="0">
                  <c:v>GALICIA</c:v>
                </c:pt>
                <c:pt idx="1">
                  <c:v>EXTREMADURA</c:v>
                </c:pt>
                <c:pt idx="2">
                  <c:v>C. Y LEÓN</c:v>
                </c:pt>
                <c:pt idx="3">
                  <c:v>ANDALUCÍA</c:v>
                </c:pt>
              </c:strCache>
            </c:strRef>
          </c:cat>
          <c:val>
            <c:numRef>
              <c:f>'CAS-EDAD'!$AS$4:$AS$7</c:f>
              <c:numCache>
                <c:formatCode>#,##0</c:formatCode>
                <c:ptCount val="4"/>
                <c:pt idx="0">
                  <c:v>2388.4499999999998</c:v>
                </c:pt>
                <c:pt idx="1">
                  <c:v>3167.63</c:v>
                </c:pt>
                <c:pt idx="2">
                  <c:v>256.5499999999999</c:v>
                </c:pt>
                <c:pt idx="3">
                  <c:v>3798.9299999999989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49008"/>
        <c:axId val="1083245744"/>
      </c:barChart>
      <c:catAx>
        <c:axId val="108324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5744"/>
        <c:crosses val="autoZero"/>
        <c:auto val="1"/>
        <c:lblAlgn val="ctr"/>
        <c:lblOffset val="100"/>
        <c:noMultiLvlLbl val="0"/>
      </c:catAx>
      <c:valAx>
        <c:axId val="108324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 Castaño: </a:t>
            </a:r>
            <a:r>
              <a:rPr lang="en-US" sz="1600">
                <a:solidFill>
                  <a:sysClr val="windowText" lastClr="000000"/>
                </a:solidFill>
              </a:rPr>
              <a:t>Evolución Superficie plantada (2000 -2020)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'CAS-EDAD'!$A$41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D7AE8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311065B-9072-41B1-A7F3-3692DCD5012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D88ADC4-C753-4E6F-822D-CA09A62B8D2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78418A0-346F-4061-9A44-40993A619CE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BA279AC-ABC4-4872-81FB-A7AEC0B8C9B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7FBE154-D20B-47C4-AF7B-E9B5A4B7797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A0DB95D-E8AD-45A2-A758-64D1D7B5DCB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9BB2174-1D90-4F65-B202-6ED13E7E2E4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808E49F8-31CF-414E-B2B3-409E3183608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EBCD65C-B5F2-4EAF-9056-982E7206450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77042399-9C25-45AD-AD9E-6EBC2517317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69ECEBBD-4938-4F24-98A3-C63F9C66DC0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35FBA8C5-0408-4A55-BED7-DA8DB63B919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69F1CC5-769F-49A9-87EE-61E096AACBA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30C7441B-750E-4F3D-9BBF-399125AB764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E09A20C8-C086-4DD5-B763-402BF5E5E5E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431B174F-14D7-482A-A54F-BACBAD643B8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8E198970-ED41-457A-85F8-D9AEA0AB55F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60CD3B03-45C1-4973-9746-9D43B36D0ED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D99DAD8F-ADA9-478C-B550-26F9F83D71C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51847FD9-56C0-43A7-9B69-4316F4E64D8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95F026FD-2907-4517-B0C7-D8AC5AE9A22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'CAS-EDAD'!$C$3:$W$3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'CAS-EDAD'!$C$42:$W$42</c:f>
              <c:numCache>
                <c:formatCode>#,##0</c:formatCode>
                <c:ptCount val="21"/>
                <c:pt idx="0">
                  <c:v>8054.8699999999944</c:v>
                </c:pt>
                <c:pt idx="1">
                  <c:v>8075.1099999999942</c:v>
                </c:pt>
                <c:pt idx="2">
                  <c:v>8094.7999999999938</c:v>
                </c:pt>
                <c:pt idx="3">
                  <c:v>8146.3199999999943</c:v>
                </c:pt>
                <c:pt idx="4">
                  <c:v>8184.2599999999939</c:v>
                </c:pt>
                <c:pt idx="5">
                  <c:v>8258.9699999999939</c:v>
                </c:pt>
                <c:pt idx="6">
                  <c:v>8312.5899999999947</c:v>
                </c:pt>
                <c:pt idx="7">
                  <c:v>8351.1299999999956</c:v>
                </c:pt>
                <c:pt idx="8">
                  <c:v>8387.9699999999957</c:v>
                </c:pt>
                <c:pt idx="9">
                  <c:v>8436.4499999999953</c:v>
                </c:pt>
                <c:pt idx="10">
                  <c:v>8590.2499999999945</c:v>
                </c:pt>
                <c:pt idx="11">
                  <c:v>8615.0499999999938</c:v>
                </c:pt>
                <c:pt idx="12">
                  <c:v>8672.4699999999939</c:v>
                </c:pt>
                <c:pt idx="13">
                  <c:v>8750.8799999999937</c:v>
                </c:pt>
                <c:pt idx="14">
                  <c:v>8898.0799999999945</c:v>
                </c:pt>
                <c:pt idx="15">
                  <c:v>9104.4699999999939</c:v>
                </c:pt>
                <c:pt idx="16">
                  <c:v>9220.0899999999947</c:v>
                </c:pt>
                <c:pt idx="17">
                  <c:v>9391.9599999999955</c:v>
                </c:pt>
                <c:pt idx="18">
                  <c:v>9517.9999999999964</c:v>
                </c:pt>
                <c:pt idx="19">
                  <c:v>9593.2099999999955</c:v>
                </c:pt>
                <c:pt idx="20">
                  <c:v>9640.6399999999958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EC-4CCD-A2C2-F64AB584EDC1}"/>
            </c:ext>
            <c:ext xmlns:c15="http://schemas.microsoft.com/office/drawing/2012/chart" uri="{02D57815-91ED-43cb-92C2-25804820EDAC}">
              <c15:datalabelsRange>
                <c15:f>'CAS-EDAD'!$C$43:$W$43</c15:f>
                <c15:dlblRangeCache>
                  <c:ptCount val="21"/>
                  <c:pt idx="1">
                    <c:v>0%</c:v>
                  </c:pt>
                  <c:pt idx="2">
                    <c:v>0%</c:v>
                  </c:pt>
                  <c:pt idx="3">
                    <c:v>1%</c:v>
                  </c:pt>
                  <c:pt idx="4">
                    <c:v>0%</c:v>
                  </c:pt>
                  <c:pt idx="5">
                    <c:v>1%</c:v>
                  </c:pt>
                  <c:pt idx="6">
                    <c:v>1%</c:v>
                  </c:pt>
                  <c:pt idx="7">
                    <c:v>0%</c:v>
                  </c:pt>
                  <c:pt idx="8">
                    <c:v>0%</c:v>
                  </c:pt>
                  <c:pt idx="9">
                    <c:v>1%</c:v>
                  </c:pt>
                  <c:pt idx="10">
                    <c:v>2%</c:v>
                  </c:pt>
                  <c:pt idx="11">
                    <c:v>0%</c:v>
                  </c:pt>
                  <c:pt idx="12">
                    <c:v>1%</c:v>
                  </c:pt>
                  <c:pt idx="13">
                    <c:v>1%</c:v>
                  </c:pt>
                  <c:pt idx="14">
                    <c:v>2%</c:v>
                  </c:pt>
                  <c:pt idx="15">
                    <c:v>2%</c:v>
                  </c:pt>
                  <c:pt idx="16">
                    <c:v>1%</c:v>
                  </c:pt>
                  <c:pt idx="17">
                    <c:v>2%</c:v>
                  </c:pt>
                  <c:pt idx="18">
                    <c:v>1%</c:v>
                  </c:pt>
                  <c:pt idx="19">
                    <c:v>1%</c:v>
                  </c:pt>
                  <c:pt idx="20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083247920"/>
        <c:axId val="1083246288"/>
      </c:barChart>
      <c:catAx>
        <c:axId val="1083247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0308775701568361"/>
              <c:y val="0.909900695802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6288"/>
        <c:crosses val="autoZero"/>
        <c:auto val="1"/>
        <c:lblAlgn val="ctr"/>
        <c:lblOffset val="100"/>
        <c:noMultiLvlLbl val="0"/>
      </c:catAx>
      <c:valAx>
        <c:axId val="1083246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Avellano</a:t>
            </a:r>
            <a:r>
              <a:rPr lang="en-US" b="1" baseline="0">
                <a:solidFill>
                  <a:sysClr val="windowText" lastClr="000000"/>
                </a:solidFill>
              </a:rPr>
              <a:t> (Secano): </a:t>
            </a:r>
            <a:r>
              <a:rPr lang="en-US" baseline="0">
                <a:solidFill>
                  <a:sysClr val="windowText" lastClr="000000"/>
                </a:solidFill>
              </a:rPr>
              <a:t>Edades de plantación</a:t>
            </a:r>
            <a:endParaRPr lang="en-US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'AVE-EDAD'!$A$3</c:f>
              <c:strCache>
                <c:ptCount val="1"/>
                <c:pt idx="0">
                  <c:v>AVELLANO: Secano</c:v>
                </c:pt>
              </c:strCache>
            </c:strRef>
          </c:tx>
          <c:spPr>
            <a:solidFill>
              <a:srgbClr val="CB966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'AVE-EDAD'!$B$4:$W$4</c15:sqref>
                  </c15:fullRef>
                </c:ext>
              </c:extLst>
              <c:f>'AVE-EDAD'!$C$4:$W$4</c:f>
              <c:strCache>
                <c:ptCount val="21"/>
                <c:pt idx="0">
                  <c:v>2.000</c:v>
                </c:pt>
                <c:pt idx="1">
                  <c:v>2.001</c:v>
                </c:pt>
                <c:pt idx="2">
                  <c:v>2.002</c:v>
                </c:pt>
                <c:pt idx="3">
                  <c:v>2.003</c:v>
                </c:pt>
                <c:pt idx="4">
                  <c:v>2.004</c:v>
                </c:pt>
                <c:pt idx="5">
                  <c:v>2.005</c:v>
                </c:pt>
                <c:pt idx="6">
                  <c:v>2.006</c:v>
                </c:pt>
                <c:pt idx="7">
                  <c:v>2.007</c:v>
                </c:pt>
                <c:pt idx="8">
                  <c:v>2.008</c:v>
                </c:pt>
                <c:pt idx="9">
                  <c:v>2.009</c:v>
                </c:pt>
                <c:pt idx="10">
                  <c:v>2.010</c:v>
                </c:pt>
                <c:pt idx="11">
                  <c:v>2.011</c:v>
                </c:pt>
                <c:pt idx="12">
                  <c:v>2.012</c:v>
                </c:pt>
                <c:pt idx="13">
                  <c:v>2.013</c:v>
                </c:pt>
                <c:pt idx="14">
                  <c:v>2.014</c:v>
                </c:pt>
                <c:pt idx="15">
                  <c:v>2.015</c:v>
                </c:pt>
                <c:pt idx="16">
                  <c:v>2.016</c:v>
                </c:pt>
                <c:pt idx="17">
                  <c:v>2.017</c:v>
                </c:pt>
                <c:pt idx="18">
                  <c:v>2.018</c:v>
                </c:pt>
                <c:pt idx="19">
                  <c:v>2.019</c:v>
                </c:pt>
                <c:pt idx="20">
                  <c:v>2.020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'AVE-EDAD'!$B$50:$W$50</c15:sqref>
                  </c15:fullRef>
                </c:ext>
              </c:extLst>
              <c:f>'AVE-EDAD'!$C$50:$W$50</c:f>
              <c:numCache>
                <c:formatCode>#,##0</c:formatCode>
                <c:ptCount val="21"/>
                <c:pt idx="0">
                  <c:v>98.100000000000009</c:v>
                </c:pt>
                <c:pt idx="1">
                  <c:v>16.850000000000001</c:v>
                </c:pt>
                <c:pt idx="2">
                  <c:v>2.96</c:v>
                </c:pt>
                <c:pt idx="3">
                  <c:v>3.71</c:v>
                </c:pt>
                <c:pt idx="4">
                  <c:v>9.4899999999999984</c:v>
                </c:pt>
                <c:pt idx="5">
                  <c:v>9.36</c:v>
                </c:pt>
                <c:pt idx="6">
                  <c:v>3.64</c:v>
                </c:pt>
                <c:pt idx="7">
                  <c:v>4.21</c:v>
                </c:pt>
                <c:pt idx="8">
                  <c:v>6.3</c:v>
                </c:pt>
                <c:pt idx="9">
                  <c:v>2.08</c:v>
                </c:pt>
                <c:pt idx="10">
                  <c:v>9.7899999999999991</c:v>
                </c:pt>
                <c:pt idx="11">
                  <c:v>3.08</c:v>
                </c:pt>
                <c:pt idx="12">
                  <c:v>13.029999999999998</c:v>
                </c:pt>
                <c:pt idx="13">
                  <c:v>2.9499999999999997</c:v>
                </c:pt>
                <c:pt idx="14">
                  <c:v>12.169999999999998</c:v>
                </c:pt>
                <c:pt idx="15">
                  <c:v>30.659999999999997</c:v>
                </c:pt>
                <c:pt idx="16">
                  <c:v>28.700000000000003</c:v>
                </c:pt>
                <c:pt idx="17">
                  <c:v>32.96</c:v>
                </c:pt>
                <c:pt idx="18">
                  <c:v>29.009999999999998</c:v>
                </c:pt>
                <c:pt idx="19">
                  <c:v>21.11</c:v>
                </c:pt>
                <c:pt idx="20">
                  <c:v>20.61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2-4086-8DE3-0FE375B7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53904"/>
        <c:axId val="1083252272"/>
      </c:barChart>
      <c:catAx>
        <c:axId val="1083253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1846818716625944"/>
              <c:y val="0.91817600284024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2272"/>
        <c:crosses val="autoZero"/>
        <c:auto val="1"/>
        <c:lblAlgn val="ctr"/>
        <c:lblOffset val="100"/>
        <c:noMultiLvlLbl val="0"/>
      </c:catAx>
      <c:valAx>
        <c:axId val="108325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ysClr val="windowText" lastClr="000000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baseline="0">
                <a:effectLst/>
              </a:rPr>
              <a:t>Frutos secos (regadío): RSU REGEPA 2019 vs 2020</a:t>
            </a:r>
            <a:endParaRPr lang="es-E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'Frutos secos TOTAL'!$U$150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944444444444442E-2"/>
                  <c:y val="-6.4814814814814853E-2"/>
                </c:manualLayout>
              </c:layout>
              <c:tx>
                <c:rich>
                  <a:bodyPr/>
                  <a:lstStyle/>
                  <a:p>
                    <a:fld id="{3DA13B8E-7FBA-4E5B-9E79-10C1184CA19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3.0555555555555454E-2"/>
                  <c:y val="-4.6296296296297144E-3"/>
                </c:manualLayout>
              </c:layout>
              <c:tx>
                <c:rich>
                  <a:bodyPr/>
                  <a:lstStyle/>
                  <a:p>
                    <a:fld id="{D98932F6-4D74-4365-B94F-07E5B6B09E2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2.5000000000000001E-2"/>
                  <c:y val="-4.6296296296295444E-3"/>
                </c:manualLayout>
              </c:layout>
              <c:tx>
                <c:rich>
                  <a:bodyPr/>
                  <a:lstStyle/>
                  <a:p>
                    <a:fld id="{8561AB02-6622-4B10-B921-806413282E7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2.5000000000000001E-2"/>
                  <c:y val="-4.6296296296296294E-3"/>
                </c:manualLayout>
              </c:layout>
              <c:tx>
                <c:rich>
                  <a:bodyPr/>
                  <a:lstStyle/>
                  <a:p>
                    <a:fld id="{2A672207-59AE-4C1A-9B55-616E31CAAA8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'Frutos secos TOTAL'!$T$151:$T$154</c:f>
              <c:strCache>
                <c:ptCount val="4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</c:strCache>
            </c:strRef>
          </c:cat>
          <c:val>
            <c:numRef>
              <c:f>'Frutos secos TOTAL'!$U$151:$U$154</c:f>
              <c:numCache>
                <c:formatCode>#,##0</c:formatCode>
                <c:ptCount val="4"/>
                <c:pt idx="0">
                  <c:v>77657.63</c:v>
                </c:pt>
                <c:pt idx="1">
                  <c:v>8776.7900000000045</c:v>
                </c:pt>
                <c:pt idx="2">
                  <c:v>7116.6900000000014</c:v>
                </c:pt>
                <c:pt idx="3">
                  <c:v>695.71999999999991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'Frutos secos TOTAL'!$W$151:$W$154</c15:f>
                <c15:dlblRangeCache>
                  <c:ptCount val="4"/>
                  <c:pt idx="0">
                    <c:v>28%</c:v>
                  </c:pt>
                  <c:pt idx="1">
                    <c:v>34%</c:v>
                  </c:pt>
                  <c:pt idx="2">
                    <c:v>-2,9%</c:v>
                  </c:pt>
                  <c:pt idx="3">
                    <c:v>2,9%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'Frutos secos TOTAL'!$V$150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'Frutos secos TOTAL'!$T$151:$T$154</c:f>
              <c:strCache>
                <c:ptCount val="4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</c:strCache>
            </c:strRef>
          </c:cat>
          <c:val>
            <c:numRef>
              <c:f>'Frutos secos TOTAL'!$V$151:$V$154</c:f>
              <c:numCache>
                <c:formatCode>#,##0</c:formatCode>
                <c:ptCount val="4"/>
                <c:pt idx="0">
                  <c:v>99478</c:v>
                </c:pt>
                <c:pt idx="1">
                  <c:v>11729.22</c:v>
                </c:pt>
                <c:pt idx="2">
                  <c:v>6911.850000000004</c:v>
                </c:pt>
                <c:pt idx="3">
                  <c:v>715.95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0225904"/>
        <c:axId val="970213392"/>
      </c:barChart>
      <c:catAx>
        <c:axId val="97022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13392"/>
        <c:crosses val="autoZero"/>
        <c:auto val="1"/>
        <c:lblAlgn val="ctr"/>
        <c:lblOffset val="100"/>
        <c:noMultiLvlLbl val="0"/>
      </c:catAx>
      <c:valAx>
        <c:axId val="97021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Avellano (secano): Sin info de 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'AVE-EDAD'!$A$55:$A$67</c15:sqref>
                  </c15:fullRef>
                </c:ext>
              </c:extLst>
              <c:f>('AVE-EDAD'!$A$56,'AVE-EDAD'!$A$58:$A$59,'AVE-EDAD'!$A$64,'AVE-EDAD'!$A$66)</c:f>
              <c:strCache>
                <c:ptCount val="5"/>
                <c:pt idx="0">
                  <c:v>ARAGÓN</c:v>
                </c:pt>
                <c:pt idx="1">
                  <c:v>C. VALENCIANA</c:v>
                </c:pt>
                <c:pt idx="2">
                  <c:v>C. y LEÓN</c:v>
                </c:pt>
                <c:pt idx="3">
                  <c:v>GALICIA</c:v>
                </c:pt>
                <c:pt idx="4">
                  <c:v>NAVARRA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'AVE-EDAD'!$X$55:$X$67</c15:sqref>
                  </c15:fullRef>
                </c:ext>
              </c:extLst>
              <c:f>('AVE-EDAD'!$X$56,'AVE-EDAD'!$X$58:$X$59,'AVE-EDAD'!$X$64,'AVE-EDAD'!$X$66)</c:f>
              <c:numCache>
                <c:formatCode>0.00%</c:formatCode>
                <c:ptCount val="5"/>
                <c:pt idx="0">
                  <c:v>8.5873765564620003E-4</c:v>
                </c:pt>
                <c:pt idx="1" formatCode="0%">
                  <c:v>2.2255227309647026E-2</c:v>
                </c:pt>
                <c:pt idx="2" formatCode="0%">
                  <c:v>0.24881516587677727</c:v>
                </c:pt>
                <c:pt idx="3" formatCode="0%">
                  <c:v>0.26315789473684209</c:v>
                </c:pt>
                <c:pt idx="4" formatCode="0.0%">
                  <c:v>0.12442396313364057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E0-48FC-8779-E17B68B35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3245200"/>
        <c:axId val="1083246832"/>
      </c:barChart>
      <c:catAx>
        <c:axId val="1083245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6832"/>
        <c:crosses val="autoZero"/>
        <c:auto val="1"/>
        <c:lblAlgn val="ctr"/>
        <c:lblOffset val="100"/>
        <c:noMultiLvlLbl val="0"/>
      </c:catAx>
      <c:valAx>
        <c:axId val="108324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Avellano</a:t>
            </a:r>
            <a:r>
              <a:rPr lang="en-US" sz="1600" b="1" baseline="0">
                <a:solidFill>
                  <a:sysClr val="windowText" lastClr="000000"/>
                </a:solidFill>
              </a:rPr>
              <a:t> (regadío)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n-US" sz="1600" baseline="0">
                <a:solidFill>
                  <a:sysClr val="windowText" lastClr="000000"/>
                </a:solidFill>
              </a:rPr>
              <a:t>Edades de plantación</a:t>
            </a:r>
            <a:endParaRPr lang="en-US" sz="16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596439143138189"/>
          <c:y val="0.19239879745845659"/>
          <c:w val="0.86930608369029416"/>
          <c:h val="0.606620499601789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'AVE-EDAD'!$A$72</c:f>
              <c:strCache>
                <c:ptCount val="1"/>
                <c:pt idx="0">
                  <c:v>AVELLANO: Regadío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'AVE-EDAD'!$B$105:$W$105</c:f>
              <c:strCache>
                <c:ptCount val="22"/>
                <c:pt idx="0">
                  <c:v>&lt;2,000</c:v>
                </c:pt>
                <c:pt idx="1">
                  <c:v>2.000</c:v>
                </c:pt>
                <c:pt idx="2">
                  <c:v>2.001</c:v>
                </c:pt>
                <c:pt idx="3">
                  <c:v>2.002</c:v>
                </c:pt>
                <c:pt idx="4">
                  <c:v>2.003</c:v>
                </c:pt>
                <c:pt idx="5">
                  <c:v>2.004</c:v>
                </c:pt>
                <c:pt idx="6">
                  <c:v>2.005</c:v>
                </c:pt>
                <c:pt idx="7">
                  <c:v>2.006</c:v>
                </c:pt>
                <c:pt idx="8">
                  <c:v>2.007</c:v>
                </c:pt>
                <c:pt idx="9">
                  <c:v>2.008</c:v>
                </c:pt>
                <c:pt idx="10">
                  <c:v>2.009</c:v>
                </c:pt>
                <c:pt idx="11">
                  <c:v>2.010</c:v>
                </c:pt>
                <c:pt idx="12">
                  <c:v>2.011</c:v>
                </c:pt>
                <c:pt idx="13">
                  <c:v>2.012</c:v>
                </c:pt>
                <c:pt idx="14">
                  <c:v>2.013</c:v>
                </c:pt>
                <c:pt idx="15">
                  <c:v>2.014</c:v>
                </c:pt>
                <c:pt idx="16">
                  <c:v>2.015</c:v>
                </c:pt>
                <c:pt idx="17">
                  <c:v>2.016</c:v>
                </c:pt>
                <c:pt idx="18">
                  <c:v>2.017</c:v>
                </c:pt>
                <c:pt idx="19">
                  <c:v>2.018</c:v>
                </c:pt>
                <c:pt idx="20">
                  <c:v>2.019</c:v>
                </c:pt>
                <c:pt idx="21">
                  <c:v>2.020</c:v>
                </c:pt>
              </c:strCache>
            </c:strRef>
          </c:cat>
          <c:val>
            <c:numRef>
              <c:f>'AVE-EDAD'!$B$101:$W$101</c:f>
              <c:numCache>
                <c:formatCode>#,##0</c:formatCode>
                <c:ptCount val="22"/>
                <c:pt idx="0">
                  <c:v>4472.6800000000021</c:v>
                </c:pt>
                <c:pt idx="1">
                  <c:v>299.54000000000008</c:v>
                </c:pt>
                <c:pt idx="2">
                  <c:v>74.210000000000008</c:v>
                </c:pt>
                <c:pt idx="3">
                  <c:v>71.290000000000006</c:v>
                </c:pt>
                <c:pt idx="4">
                  <c:v>47.87</c:v>
                </c:pt>
                <c:pt idx="5">
                  <c:v>71.64</c:v>
                </c:pt>
                <c:pt idx="6">
                  <c:v>102.97</c:v>
                </c:pt>
                <c:pt idx="7">
                  <c:v>34.83</c:v>
                </c:pt>
                <c:pt idx="8">
                  <c:v>47.17</c:v>
                </c:pt>
                <c:pt idx="9">
                  <c:v>66.290000000000006</c:v>
                </c:pt>
                <c:pt idx="10">
                  <c:v>38.200000000000003</c:v>
                </c:pt>
                <c:pt idx="11">
                  <c:v>103.49</c:v>
                </c:pt>
                <c:pt idx="12">
                  <c:v>50.93</c:v>
                </c:pt>
                <c:pt idx="13">
                  <c:v>76.289999999999992</c:v>
                </c:pt>
                <c:pt idx="14">
                  <c:v>130.14999999999998</c:v>
                </c:pt>
                <c:pt idx="15">
                  <c:v>192.16</c:v>
                </c:pt>
                <c:pt idx="16">
                  <c:v>228.33</c:v>
                </c:pt>
                <c:pt idx="17">
                  <c:v>212.26</c:v>
                </c:pt>
                <c:pt idx="18">
                  <c:v>182.32999999999998</c:v>
                </c:pt>
                <c:pt idx="19">
                  <c:v>161.4</c:v>
                </c:pt>
                <c:pt idx="20">
                  <c:v>139.09</c:v>
                </c:pt>
                <c:pt idx="21">
                  <c:v>109.50000000000001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E-4A11-AE1D-B832DC5ED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51184"/>
        <c:axId val="1083250640"/>
      </c:barChart>
      <c:catAx>
        <c:axId val="1083251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2884830114969102"/>
              <c:y val="0.93533054308855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0640"/>
        <c:crosses val="autoZero"/>
        <c:auto val="1"/>
        <c:lblAlgn val="ctr"/>
        <c:lblOffset val="100"/>
        <c:tickLblSkip val="1"/>
        <c:noMultiLvlLbl val="0"/>
      </c:catAx>
      <c:valAx>
        <c:axId val="108325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ysClr val="windowText" lastClr="000000"/>
                </a:solidFill>
              </a:rPr>
              <a:t>Avellano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400">
                <a:solidFill>
                  <a:sysClr val="windowText" lastClr="000000"/>
                </a:solidFill>
              </a:rPr>
              <a:t>Plantaciones</a:t>
            </a:r>
            <a:r>
              <a:rPr lang="es-ES" sz="1400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 sz="1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5356091945135339"/>
          <c:y val="2.85282619029854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'AVE-EDAD'!$AR$4</c:f>
              <c:strCache>
                <c:ptCount val="1"/>
                <c:pt idx="0">
                  <c:v>Plan. Joven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6CE8FA2-05A9-4762-88F8-530D7CDF3B6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A3452DF-7CC1-4D6E-81D6-573E58DE27E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'AVE-EDAD'!$AQ$5:$AQ$8</c15:sqref>
                  </c15:fullRef>
                </c:ext>
              </c:extLst>
              <c:f>'AVE-EDAD'!$AQ$5:$AQ$6</c:f>
              <c:strCache>
                <c:ptCount val="2"/>
                <c:pt idx="0">
                  <c:v>CATALUÑA</c:v>
                </c:pt>
                <c:pt idx="1">
                  <c:v>C. VALENCIANA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'AVE-EDAD'!$AR$5:$AR$8</c15:sqref>
                  </c15:fullRef>
                </c:ext>
              </c:extLst>
              <c:f>'AVE-EDAD'!$AR$5:$AR$6</c:f>
              <c:numCache>
                <c:formatCode>#,##0</c:formatCode>
                <c:ptCount val="2"/>
                <c:pt idx="0">
                  <c:v>90.97</c:v>
                </c:pt>
                <c:pt idx="1">
                  <c:v>5.68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'AVE-EDAD'!$AT$5:$AT$6</c15:f>
                <c15:dlblRangeCache>
                  <c:ptCount val="2"/>
                  <c:pt idx="0">
                    <c:v>3%</c:v>
                  </c:pt>
                  <c:pt idx="1">
                    <c:v>1%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'AVE-EDAD'!$AS$4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rgbClr val="663300"/>
                </a:gs>
                <a:gs pos="50000">
                  <a:srgbClr val="996633"/>
                </a:gs>
                <a:gs pos="100000">
                  <a:srgbClr val="CB9763"/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'AVE-EDAD'!$AQ$5:$AQ$8</c15:sqref>
                  </c15:fullRef>
                </c:ext>
              </c:extLst>
              <c:f>'AVE-EDAD'!$AQ$5:$AQ$6</c:f>
              <c:strCache>
                <c:ptCount val="2"/>
                <c:pt idx="0">
                  <c:v>CATALUÑA</c:v>
                </c:pt>
                <c:pt idx="1">
                  <c:v>C. VALENCIANA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'AVE-EDAD'!$AS$5:$AS$8</c15:sqref>
                  </c15:fullRef>
                </c:ext>
              </c:extLst>
              <c:f>'AVE-EDAD'!$AS$5:$AS$6</c:f>
              <c:numCache>
                <c:formatCode>#,##0</c:formatCode>
                <c:ptCount val="2"/>
                <c:pt idx="0">
                  <c:v>2837.7999999999988</c:v>
                </c:pt>
                <c:pt idx="1">
                  <c:v>430.90999999999997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47376"/>
        <c:axId val="1083248464"/>
      </c:barChart>
      <c:catAx>
        <c:axId val="108324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8464"/>
        <c:crosses val="autoZero"/>
        <c:auto val="1"/>
        <c:lblAlgn val="ctr"/>
        <c:lblOffset val="100"/>
        <c:noMultiLvlLbl val="0"/>
      </c:catAx>
      <c:valAx>
        <c:axId val="108324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 Castaño: </a:t>
            </a:r>
            <a:r>
              <a:rPr lang="en-US" sz="1600">
                <a:solidFill>
                  <a:sysClr val="windowText" lastClr="000000"/>
                </a:solidFill>
              </a:rPr>
              <a:t>Evolución Superficie plantada (2000 -2020)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'AVE-EDAD'!$A$50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D7AE8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B226D8B-0EF0-4B68-8E01-B77F4AC5FAF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E5632EC-723F-4EF1-A195-8D9231D7235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DE82F20-F211-4C20-8D30-1F789880CAC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85B26D8-7D37-4398-B602-F5A5F625A7F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C270B6D-852F-46BB-A23B-436BF16213A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9726448A-6FA5-44E6-8A99-B155EFB8015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40416A00-53CC-4DCD-9D85-11B66A9C7E4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4ADEB08-D4E1-415C-BD3C-4E777293882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4BBE7BF1-361B-4681-BE76-FBBC828E355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896CFAD-756D-4874-9479-1F7B9EF9C90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FAFFED32-1314-46B4-99F9-3975CDD67D2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2C80268F-FAC3-4DC6-B5E1-75888F4514A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51FA8D52-0CEE-472A-B2D5-2A6D2BCBD10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26B3D11C-8823-497B-83A0-7ACF526F676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DCEAF714-C0EE-42F6-A276-D1E6F5774FF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F43CB8BB-08C2-47ED-9E8D-3AA977876AD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D819D8F9-EEE7-4671-8E20-1E0AD94A95F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269C8F01-B0AE-4C21-BFA7-C9DA0D76D71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9148D26F-E405-483A-8A48-4942E842788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5C4A63C9-8A98-475C-99A7-146898F3CAC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D81B22E7-4936-4450-B23A-B70C5E6D07A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'CAS-EDAD'!$C$3:$W$3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'AVE-EDAD'!$C$51:$W$51</c:f>
              <c:numCache>
                <c:formatCode>#,##0</c:formatCode>
                <c:ptCount val="21"/>
                <c:pt idx="0">
                  <c:v>3036.41</c:v>
                </c:pt>
                <c:pt idx="1">
                  <c:v>3053.2599999999998</c:v>
                </c:pt>
                <c:pt idx="2">
                  <c:v>3056.22</c:v>
                </c:pt>
                <c:pt idx="3">
                  <c:v>3059.93</c:v>
                </c:pt>
                <c:pt idx="4">
                  <c:v>3069.4199999999996</c:v>
                </c:pt>
                <c:pt idx="5">
                  <c:v>3078.7799999999997</c:v>
                </c:pt>
                <c:pt idx="6">
                  <c:v>3082.4199999999996</c:v>
                </c:pt>
                <c:pt idx="7">
                  <c:v>3086.6299999999997</c:v>
                </c:pt>
                <c:pt idx="8">
                  <c:v>3092.93</c:v>
                </c:pt>
                <c:pt idx="9">
                  <c:v>3095.0099999999998</c:v>
                </c:pt>
                <c:pt idx="10">
                  <c:v>3104.7999999999997</c:v>
                </c:pt>
                <c:pt idx="11">
                  <c:v>3107.8799999999997</c:v>
                </c:pt>
                <c:pt idx="12">
                  <c:v>3120.91</c:v>
                </c:pt>
                <c:pt idx="13">
                  <c:v>3123.8599999999997</c:v>
                </c:pt>
                <c:pt idx="14">
                  <c:v>3136.0299999999997</c:v>
                </c:pt>
                <c:pt idx="15">
                  <c:v>3166.6899999999996</c:v>
                </c:pt>
                <c:pt idx="16">
                  <c:v>3195.3899999999994</c:v>
                </c:pt>
                <c:pt idx="17">
                  <c:v>3228.3499999999995</c:v>
                </c:pt>
                <c:pt idx="18">
                  <c:v>3257.3599999999997</c:v>
                </c:pt>
                <c:pt idx="19">
                  <c:v>3278.47</c:v>
                </c:pt>
                <c:pt idx="20">
                  <c:v>3299.08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EC-4CCD-A2C2-F64AB584EDC1}"/>
            </c:ext>
            <c:ext xmlns:c15="http://schemas.microsoft.com/office/drawing/2012/chart" uri="{02D57815-91ED-43cb-92C2-25804820EDAC}">
              <c15:datalabelsRange>
                <c15:f>'AVE-EDAD'!$C$52:$W$52</c15:f>
                <c15:dlblRangeCache>
                  <c:ptCount val="21"/>
                  <c:pt idx="1">
                    <c:v>1%</c:v>
                  </c:pt>
                  <c:pt idx="2">
                    <c:v>0%</c:v>
                  </c:pt>
                  <c:pt idx="3">
                    <c:v>0%</c:v>
                  </c:pt>
                  <c:pt idx="4">
                    <c:v>0%</c:v>
                  </c:pt>
                  <c:pt idx="5">
                    <c:v>0%</c:v>
                  </c:pt>
                  <c:pt idx="6">
                    <c:v>0%</c:v>
                  </c:pt>
                  <c:pt idx="7">
                    <c:v>0%</c:v>
                  </c:pt>
                  <c:pt idx="8">
                    <c:v>0%</c:v>
                  </c:pt>
                  <c:pt idx="9">
                    <c:v>0%</c:v>
                  </c:pt>
                  <c:pt idx="10">
                    <c:v>0%</c:v>
                  </c:pt>
                  <c:pt idx="11">
                    <c:v>0%</c:v>
                  </c:pt>
                  <c:pt idx="12">
                    <c:v>0%</c:v>
                  </c:pt>
                  <c:pt idx="13">
                    <c:v>0%</c:v>
                  </c:pt>
                  <c:pt idx="14">
                    <c:v>0%</c:v>
                  </c:pt>
                  <c:pt idx="15">
                    <c:v>1%</c:v>
                  </c:pt>
                  <c:pt idx="16">
                    <c:v>1%</c:v>
                  </c:pt>
                  <c:pt idx="17">
                    <c:v>1%</c:v>
                  </c:pt>
                  <c:pt idx="18">
                    <c:v>1%</c:v>
                  </c:pt>
                  <c:pt idx="19">
                    <c:v>1%</c:v>
                  </c:pt>
                  <c:pt idx="20">
                    <c:v>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083243024"/>
        <c:axId val="1083249552"/>
      </c:barChart>
      <c:catAx>
        <c:axId val="1083243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Años de plantación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9552"/>
        <c:crosses val="autoZero"/>
        <c:auto val="1"/>
        <c:lblAlgn val="ctr"/>
        <c:lblOffset val="100"/>
        <c:noMultiLvlLbl val="0"/>
      </c:catAx>
      <c:valAx>
        <c:axId val="1083249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ysClr val="windowText" lastClr="000000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Avellana (Regadío)</a:t>
            </a:r>
          </a:p>
          <a:p>
            <a:pPr>
              <a:defRPr/>
            </a:pPr>
            <a:r>
              <a:rPr lang="en-US"/>
              <a:t>Evolución Superficie plantada (2000 -2020)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'AVE-EDAD'!$A$101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5C0480-20E9-47E6-9F0F-796858C2E13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5086E94-01E2-4139-AF3F-15D5EDB993D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C8ECFB9-A130-4D03-A3B4-2952177FEFB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1651E5-BAA9-4F13-BB78-32734169D58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257791C-894C-4234-A13D-0E055696745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71D2DEE-4EA3-470B-9CAD-9E43AD465CD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7982FB-6A43-4DA0-A527-6B532DA2C6E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D7E27CE-6734-443B-8C9F-6ABDFCA401F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63FF08B-8FBD-4953-B5C5-376EC8273B6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5905B41-1CD8-4AAF-AF99-C1387FFD674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C4D84CF-08CB-4F1C-9E00-3C3CEE3DA0F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3906F40-ADD5-4C94-B000-ACF7B6EC792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BE943B7-BC1C-4D95-9CC9-80AA0DA322C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149C474-B9FC-4C00-81BB-8A26CDD41B8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1782786-AF75-4C5A-A0BD-1DC42D7E4E4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F18BAA-A4AB-49FF-8683-574D1AF5E6D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2D04641-7F45-44FA-B07E-AD8E4A6B3B2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D4749F7-721F-453E-813C-09EF14E793C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FAE934C-820A-4A2B-8096-0BCDD679D2C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510A890-F93C-49B0-9B0C-1863AA5AF87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0A5D5E9-98C5-4C88-A975-93094886A95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'AVE-EDAD'!$C$73:$W$73</c:f>
              <c:numCache>
                <c:formatCode>#,##0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'AVE-EDAD'!$C$102:$W$102</c:f>
              <c:numCache>
                <c:formatCode>#,##0</c:formatCode>
                <c:ptCount val="21"/>
                <c:pt idx="0">
                  <c:v>4772.2200000000021</c:v>
                </c:pt>
                <c:pt idx="1">
                  <c:v>4846.4300000000021</c:v>
                </c:pt>
                <c:pt idx="2">
                  <c:v>4917.7200000000021</c:v>
                </c:pt>
                <c:pt idx="3">
                  <c:v>4965.590000000002</c:v>
                </c:pt>
                <c:pt idx="4">
                  <c:v>5037.2300000000023</c:v>
                </c:pt>
                <c:pt idx="5">
                  <c:v>5140.2000000000025</c:v>
                </c:pt>
                <c:pt idx="6">
                  <c:v>5175.0300000000025</c:v>
                </c:pt>
                <c:pt idx="7">
                  <c:v>5222.2000000000025</c:v>
                </c:pt>
                <c:pt idx="8">
                  <c:v>5288.4900000000025</c:v>
                </c:pt>
                <c:pt idx="9">
                  <c:v>5326.6900000000023</c:v>
                </c:pt>
                <c:pt idx="10">
                  <c:v>5430.1800000000021</c:v>
                </c:pt>
                <c:pt idx="11">
                  <c:v>5481.1100000000024</c:v>
                </c:pt>
                <c:pt idx="12">
                  <c:v>5557.4000000000024</c:v>
                </c:pt>
                <c:pt idx="13">
                  <c:v>5687.550000000002</c:v>
                </c:pt>
                <c:pt idx="14">
                  <c:v>5879.7100000000019</c:v>
                </c:pt>
                <c:pt idx="15">
                  <c:v>6108.0400000000018</c:v>
                </c:pt>
                <c:pt idx="16">
                  <c:v>6320.300000000002</c:v>
                </c:pt>
                <c:pt idx="17">
                  <c:v>6502.6300000000019</c:v>
                </c:pt>
                <c:pt idx="18">
                  <c:v>6664.0300000000016</c:v>
                </c:pt>
                <c:pt idx="19">
                  <c:v>6803.1200000000017</c:v>
                </c:pt>
                <c:pt idx="20">
                  <c:v>6912.6200000000017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EC-4CCD-A2C2-F64AB584EDC1}"/>
            </c:ext>
            <c:ext xmlns:c15="http://schemas.microsoft.com/office/drawing/2012/chart" uri="{02D57815-91ED-43cb-92C2-25804820EDAC}">
              <c15:datalabelsRange>
                <c15:f>'AVE-EDAD'!$C$103:$W$103</c15:f>
                <c15:dlblRangeCache>
                  <c:ptCount val="21"/>
                  <c:pt idx="1">
                    <c:v>2%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2%</c:v>
                  </c:pt>
                  <c:pt idx="6">
                    <c:v>1%</c:v>
                  </c:pt>
                  <c:pt idx="7">
                    <c:v>1%</c:v>
                  </c:pt>
                  <c:pt idx="8">
                    <c:v>1%</c:v>
                  </c:pt>
                  <c:pt idx="9">
                    <c:v>1%</c:v>
                  </c:pt>
                  <c:pt idx="10">
                    <c:v>2%</c:v>
                  </c:pt>
                  <c:pt idx="11">
                    <c:v>1%</c:v>
                  </c:pt>
                  <c:pt idx="12">
                    <c:v>1%</c:v>
                  </c:pt>
                  <c:pt idx="13">
                    <c:v>2%</c:v>
                  </c:pt>
                  <c:pt idx="14">
                    <c:v>3%</c:v>
                  </c:pt>
                  <c:pt idx="15">
                    <c:v>4%</c:v>
                  </c:pt>
                  <c:pt idx="16">
                    <c:v>3%</c:v>
                  </c:pt>
                  <c:pt idx="17">
                    <c:v>3%</c:v>
                  </c:pt>
                  <c:pt idx="18">
                    <c:v>2%</c:v>
                  </c:pt>
                  <c:pt idx="19">
                    <c:v>2%</c:v>
                  </c:pt>
                  <c:pt idx="20">
                    <c:v>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083256080"/>
        <c:axId val="1083241392"/>
      </c:barChart>
      <c:catAx>
        <c:axId val="1083256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6253813288852069"/>
              <c:y val="0.901019681321704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1392"/>
        <c:crosses val="autoZero"/>
        <c:auto val="1"/>
        <c:lblAlgn val="ctr"/>
        <c:lblOffset val="100"/>
        <c:noMultiLvlLbl val="0"/>
      </c:catAx>
      <c:valAx>
        <c:axId val="108324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1.4203286495106996E-2"/>
              <c:y val="0.380761824035451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6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ysClr val="windowText" lastClr="000000"/>
                </a:solidFill>
              </a:rPr>
              <a:t>Avellano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400">
                <a:solidFill>
                  <a:sysClr val="windowText" lastClr="000000"/>
                </a:solidFill>
              </a:rPr>
              <a:t>Plantaciones</a:t>
            </a:r>
            <a:r>
              <a:rPr lang="es-ES" sz="1400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 sz="1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5356091945135339"/>
          <c:y val="2.85282619029854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'AVE-EDAD'!$AR$73</c:f>
              <c:strCache>
                <c:ptCount val="1"/>
                <c:pt idx="0">
                  <c:v>Plantaciones jóvenes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AB8A329-5568-4BC9-8FEC-EF0F0518A01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'AVE-EDAD'!$AQ$74:$AQ$75</c15:sqref>
                  </c15:fullRef>
                </c:ext>
              </c:extLst>
              <c:f>'AVE-EDAD'!$AQ$74</c:f>
              <c:strCache>
                <c:ptCount val="1"/>
                <c:pt idx="0">
                  <c:v>CATALUÑA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'AVE-EDAD'!$AR$74:$AR$75</c15:sqref>
                  </c15:fullRef>
                </c:ext>
              </c:extLst>
              <c:f>'AVE-EDAD'!$AR$74</c:f>
              <c:numCache>
                <c:formatCode>#,##0</c:formatCode>
                <c:ptCount val="1"/>
                <c:pt idx="0">
                  <c:v>398.20000000000005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'AVE-EDAD'!$AT$74:$AT$75</c15:f>
                <c15:dlblRangeCache>
                  <c:ptCount val="2"/>
                  <c:pt idx="0">
                    <c:v>6%</c:v>
                  </c:pt>
                  <c:pt idx="1">
                    <c:v>99%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'AVE-EDAD'!$AS$73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'AVE-EDAD'!$AQ$74:$AQ$75</c15:sqref>
                  </c15:fullRef>
                </c:ext>
              </c:extLst>
              <c:f>'AVE-EDAD'!$AQ$74</c:f>
              <c:strCache>
                <c:ptCount val="1"/>
                <c:pt idx="0">
                  <c:v>CATALUÑA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'AVE-EDAD'!$AS$74:$AS$75</c15:sqref>
                  </c15:fullRef>
                </c:ext>
              </c:extLst>
              <c:f>'AVE-EDAD'!$AS$74</c:f>
              <c:numCache>
                <c:formatCode>#,##0</c:formatCode>
                <c:ptCount val="1"/>
                <c:pt idx="0">
                  <c:v>6869.340000000002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41936"/>
        <c:axId val="1083255536"/>
      </c:barChart>
      <c:catAx>
        <c:axId val="108324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5536"/>
        <c:crosses val="autoZero"/>
        <c:auto val="1"/>
        <c:lblAlgn val="ctr"/>
        <c:lblOffset val="100"/>
        <c:noMultiLvlLbl val="0"/>
      </c:catAx>
      <c:valAx>
        <c:axId val="108325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Algarrobo (secano)</a:t>
            </a:r>
          </a:p>
          <a:p>
            <a:pPr>
              <a:defRPr/>
            </a:pPr>
            <a:r>
              <a:rPr lang="es-ES">
                <a:solidFill>
                  <a:sysClr val="windowText" lastClr="000000"/>
                </a:solidFill>
              </a:rPr>
              <a:t>Edades</a:t>
            </a:r>
            <a:r>
              <a:rPr lang="es-ES" baseline="0">
                <a:solidFill>
                  <a:sysClr val="windowText" lastClr="000000"/>
                </a:solidFill>
              </a:rPr>
              <a:t> de Plantación</a:t>
            </a:r>
            <a:endParaRPr lang="es-ES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'ALG-EDAD'!$A$3</c:f>
              <c:strCache>
                <c:ptCount val="1"/>
                <c:pt idx="0">
                  <c:v>ALGARROBO: Secano</c:v>
                </c:pt>
              </c:strCache>
            </c:strRef>
          </c:tx>
          <c:spPr>
            <a:solidFill>
              <a:srgbClr val="CB966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'ALG-EDAD'!$B$4:$W$4</c15:sqref>
                  </c15:fullRef>
                </c:ext>
              </c:extLst>
              <c:f>'ALG-EDAD'!$C$4:$W$4</c:f>
              <c:strCache>
                <c:ptCount val="21"/>
                <c:pt idx="0">
                  <c:v>2.000</c:v>
                </c:pt>
                <c:pt idx="1">
                  <c:v>2.001</c:v>
                </c:pt>
                <c:pt idx="2">
                  <c:v>2.002</c:v>
                </c:pt>
                <c:pt idx="3">
                  <c:v>2.003</c:v>
                </c:pt>
                <c:pt idx="4">
                  <c:v>2.004</c:v>
                </c:pt>
                <c:pt idx="5">
                  <c:v>2.005</c:v>
                </c:pt>
                <c:pt idx="6">
                  <c:v>2.006</c:v>
                </c:pt>
                <c:pt idx="7">
                  <c:v>2.007</c:v>
                </c:pt>
                <c:pt idx="8">
                  <c:v>2.008</c:v>
                </c:pt>
                <c:pt idx="9">
                  <c:v>2.009</c:v>
                </c:pt>
                <c:pt idx="10">
                  <c:v>2.010</c:v>
                </c:pt>
                <c:pt idx="11">
                  <c:v>2.011</c:v>
                </c:pt>
                <c:pt idx="12">
                  <c:v>2.012</c:v>
                </c:pt>
                <c:pt idx="13">
                  <c:v>2.013</c:v>
                </c:pt>
                <c:pt idx="14">
                  <c:v>2.014</c:v>
                </c:pt>
                <c:pt idx="15">
                  <c:v>2.015</c:v>
                </c:pt>
                <c:pt idx="16">
                  <c:v>2.016</c:v>
                </c:pt>
                <c:pt idx="17">
                  <c:v>2.017</c:v>
                </c:pt>
                <c:pt idx="18">
                  <c:v>2.018</c:v>
                </c:pt>
                <c:pt idx="19">
                  <c:v>2.019</c:v>
                </c:pt>
                <c:pt idx="20">
                  <c:v>2.020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'ALG-EDAD'!$B$27:$W$27</c15:sqref>
                  </c15:fullRef>
                </c:ext>
              </c:extLst>
              <c:f>'ALG-EDAD'!$C$27:$W$27</c:f>
              <c:numCache>
                <c:formatCode>#,##0</c:formatCode>
                <c:ptCount val="21"/>
                <c:pt idx="0">
                  <c:v>219.66</c:v>
                </c:pt>
                <c:pt idx="1">
                  <c:v>28.369999999999997</c:v>
                </c:pt>
                <c:pt idx="2">
                  <c:v>29.56</c:v>
                </c:pt>
                <c:pt idx="3">
                  <c:v>49.800000000000004</c:v>
                </c:pt>
                <c:pt idx="4">
                  <c:v>131.01000000000002</c:v>
                </c:pt>
                <c:pt idx="5">
                  <c:v>81.429999999999993</c:v>
                </c:pt>
                <c:pt idx="6">
                  <c:v>70.33</c:v>
                </c:pt>
                <c:pt idx="7">
                  <c:v>58.099999999999994</c:v>
                </c:pt>
                <c:pt idx="8">
                  <c:v>33.39</c:v>
                </c:pt>
                <c:pt idx="9">
                  <c:v>65.59</c:v>
                </c:pt>
                <c:pt idx="10">
                  <c:v>50.260000000000005</c:v>
                </c:pt>
                <c:pt idx="11">
                  <c:v>22.33</c:v>
                </c:pt>
                <c:pt idx="12">
                  <c:v>40.369999999999997</c:v>
                </c:pt>
                <c:pt idx="13">
                  <c:v>12.17</c:v>
                </c:pt>
                <c:pt idx="14">
                  <c:v>48.09</c:v>
                </c:pt>
                <c:pt idx="15">
                  <c:v>79.66</c:v>
                </c:pt>
                <c:pt idx="16">
                  <c:v>43.79</c:v>
                </c:pt>
                <c:pt idx="17">
                  <c:v>67.95</c:v>
                </c:pt>
                <c:pt idx="18">
                  <c:v>69.44</c:v>
                </c:pt>
                <c:pt idx="19">
                  <c:v>59.2</c:v>
                </c:pt>
                <c:pt idx="20">
                  <c:v>42.669999999999995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C4-4EC6-A39F-38389D9E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50096"/>
        <c:axId val="1083240848"/>
      </c:barChart>
      <c:catAx>
        <c:axId val="1083250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0848"/>
        <c:crosses val="autoZero"/>
        <c:auto val="1"/>
        <c:lblAlgn val="ctr"/>
        <c:lblOffset val="100"/>
        <c:noMultiLvlLbl val="0"/>
      </c:catAx>
      <c:valAx>
        <c:axId val="108324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0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Algarrobo (secano): Sin info de edad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E83-4989-91A6-17DF1445FC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'ALG-EDAD'!$A$32:$A$37</c15:sqref>
                  </c15:fullRef>
                </c:ext>
              </c:extLst>
              <c:f>('ALG-EDAD'!$A$32:$A$33,'ALG-EDAD'!$A$36:$A$37)</c:f>
              <c:strCache>
                <c:ptCount val="4"/>
                <c:pt idx="0">
                  <c:v>ANDALUCÍA</c:v>
                </c:pt>
                <c:pt idx="1">
                  <c:v>C. VALENCIANA</c:v>
                </c:pt>
                <c:pt idx="2">
                  <c:v>ISLAS BALEARES</c:v>
                </c:pt>
                <c:pt idx="3">
                  <c:v>MURCIA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'ALG-EDAD'!$X$32:$X$37</c15:sqref>
                  </c15:fullRef>
                </c:ext>
              </c:extLst>
              <c:f>('ALG-EDAD'!$X$32:$X$33,'ALG-EDAD'!$X$36:$X$37)</c:f>
              <c:numCache>
                <c:formatCode>0.00%</c:formatCode>
                <c:ptCount val="4"/>
                <c:pt idx="0">
                  <c:v>1.082623886619753E-4</c:v>
                </c:pt>
                <c:pt idx="1">
                  <c:v>9.7965432751276088E-2</c:v>
                </c:pt>
                <c:pt idx="2" formatCode="0.0%">
                  <c:v>3.6061053571516187E-3</c:v>
                </c:pt>
                <c:pt idx="3" formatCode="0.0%">
                  <c:v>1.340464331400887E-2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06-4EFC-B8C4-16A29ED3C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3251728"/>
        <c:axId val="1083252816"/>
      </c:barChart>
      <c:catAx>
        <c:axId val="1083251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2816"/>
        <c:crosses val="autoZero"/>
        <c:auto val="1"/>
        <c:lblAlgn val="ctr"/>
        <c:lblOffset val="100"/>
        <c:noMultiLvlLbl val="0"/>
      </c:catAx>
      <c:valAx>
        <c:axId val="1083252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Algarrobo (regadío): Sin info de edad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'ALG-EDAD'!$A$69</c:f>
              <c:strCache>
                <c:ptCount val="1"/>
                <c:pt idx="0">
                  <c:v>CCAA</c:v>
                </c:pt>
              </c:strCache>
            </c:strRef>
          </c:tx>
          <c:spPr>
            <a:solidFill>
              <a:srgbClr val="2B8F1D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2B8F1D"/>
              </a:solidFill>
              <a:ln>
                <a:noFill/>
              </a:ln>
              <a:effectLst/>
            </c:spPr>
          </c:dPt>
          <c:dLbls>
            <c:dLbl>
              <c:idx val="4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E80-4AB5-906C-49F504389B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E80-4AB5-906C-49F504389B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'ALG-EDAD'!$A$70:$A$75</c:f>
              <c:strCache>
                <c:ptCount val="6"/>
                <c:pt idx="0">
                  <c:v>ANDALUCÍA</c:v>
                </c:pt>
                <c:pt idx="1">
                  <c:v>C. VALENCIANA</c:v>
                </c:pt>
                <c:pt idx="2">
                  <c:v>CATALUÑA</c:v>
                </c:pt>
                <c:pt idx="3">
                  <c:v>EXTREMADURA</c:v>
                </c:pt>
                <c:pt idx="4">
                  <c:v>ISLAS BALEARES</c:v>
                </c:pt>
                <c:pt idx="5">
                  <c:v>MURCIA</c:v>
                </c:pt>
              </c:strCache>
            </c:strRef>
          </c:cat>
          <c:val>
            <c:numRef>
              <c:f>'ALG-EDAD'!$X$70:$X$75</c:f>
              <c:numCache>
                <c:formatCode>0%</c:formatCode>
                <c:ptCount val="6"/>
                <c:pt idx="0" formatCode="0.00%">
                  <c:v>1.8973437187936888E-3</c:v>
                </c:pt>
                <c:pt idx="1">
                  <c:v>0.11910066842211869</c:v>
                </c:pt>
                <c:pt idx="2" formatCode="0.00%">
                  <c:v>7.134533520416655E-5</c:v>
                </c:pt>
                <c:pt idx="3">
                  <c:v>0</c:v>
                </c:pt>
                <c:pt idx="4" formatCode="0.00%">
                  <c:v>3.9106145251396659E-3</c:v>
                </c:pt>
                <c:pt idx="5">
                  <c:v>0.13386128496615146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05-4BB9-990F-6A5CC8524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3253360"/>
        <c:axId val="1083244656"/>
      </c:barChart>
      <c:catAx>
        <c:axId val="1083253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4656"/>
        <c:crosses val="autoZero"/>
        <c:auto val="1"/>
        <c:lblAlgn val="ctr"/>
        <c:lblOffset val="100"/>
        <c:noMultiLvlLbl val="0"/>
      </c:catAx>
      <c:valAx>
        <c:axId val="10832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Algarrobo (regadío)</a:t>
            </a:r>
            <a:endParaRPr lang="en-US" b="1" baseline="0">
              <a:solidFill>
                <a:sysClr val="windowText" lastClr="000000"/>
              </a:solidFill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baseline="0">
                <a:solidFill>
                  <a:sysClr val="windowText" lastClr="000000"/>
                </a:solidFill>
              </a:rPr>
              <a:t>Edades de Plantación</a:t>
            </a:r>
            <a:endParaRPr lang="en-US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'ALG-EDAD'!$A$42</c:f>
              <c:strCache>
                <c:ptCount val="1"/>
                <c:pt idx="0">
                  <c:v>ALGARROBO: Regadío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'ALG-EDAD'!$B$43:$W$43</c15:sqref>
                  </c15:fullRef>
                </c:ext>
              </c:extLst>
              <c:f>'ALG-EDAD'!$C$43:$W$43</c:f>
              <c:strCache>
                <c:ptCount val="21"/>
                <c:pt idx="0">
                  <c:v>2.000</c:v>
                </c:pt>
                <c:pt idx="1">
                  <c:v>2.001</c:v>
                </c:pt>
                <c:pt idx="2">
                  <c:v>2.002</c:v>
                </c:pt>
                <c:pt idx="3">
                  <c:v>2.003</c:v>
                </c:pt>
                <c:pt idx="4">
                  <c:v>2.004</c:v>
                </c:pt>
                <c:pt idx="5">
                  <c:v>2.005</c:v>
                </c:pt>
                <c:pt idx="6">
                  <c:v>2.006</c:v>
                </c:pt>
                <c:pt idx="7">
                  <c:v>2.007</c:v>
                </c:pt>
                <c:pt idx="8">
                  <c:v>2.008</c:v>
                </c:pt>
                <c:pt idx="9">
                  <c:v>2.009</c:v>
                </c:pt>
                <c:pt idx="10">
                  <c:v>2.010</c:v>
                </c:pt>
                <c:pt idx="11">
                  <c:v>2.011</c:v>
                </c:pt>
                <c:pt idx="12">
                  <c:v>2.012</c:v>
                </c:pt>
                <c:pt idx="13">
                  <c:v>2.013</c:v>
                </c:pt>
                <c:pt idx="14">
                  <c:v>2.014</c:v>
                </c:pt>
                <c:pt idx="15">
                  <c:v>2.015</c:v>
                </c:pt>
                <c:pt idx="16">
                  <c:v>2.016</c:v>
                </c:pt>
                <c:pt idx="17">
                  <c:v>2.017</c:v>
                </c:pt>
                <c:pt idx="18">
                  <c:v>2.018</c:v>
                </c:pt>
                <c:pt idx="19">
                  <c:v>2.019</c:v>
                </c:pt>
                <c:pt idx="20">
                  <c:v>2.020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'ALG-EDAD'!$B$65:$W$65</c15:sqref>
                  </c15:fullRef>
                </c:ext>
              </c:extLst>
              <c:f>'ALG-EDAD'!$C$65:$W$65</c:f>
              <c:numCache>
                <c:formatCode>#,##0</c:formatCode>
                <c:ptCount val="21"/>
                <c:pt idx="0">
                  <c:v>24.310000000000002</c:v>
                </c:pt>
                <c:pt idx="1">
                  <c:v>3.36</c:v>
                </c:pt>
                <c:pt idx="2">
                  <c:v>11.6</c:v>
                </c:pt>
                <c:pt idx="3">
                  <c:v>0.72</c:v>
                </c:pt>
                <c:pt idx="4">
                  <c:v>6.4700000000000006</c:v>
                </c:pt>
                <c:pt idx="5">
                  <c:v>6.0399999999999991</c:v>
                </c:pt>
                <c:pt idx="6">
                  <c:v>7.47</c:v>
                </c:pt>
                <c:pt idx="7">
                  <c:v>4.3899999999999997</c:v>
                </c:pt>
                <c:pt idx="8">
                  <c:v>7.57</c:v>
                </c:pt>
                <c:pt idx="9">
                  <c:v>7.11</c:v>
                </c:pt>
                <c:pt idx="10">
                  <c:v>6.11</c:v>
                </c:pt>
                <c:pt idx="11">
                  <c:v>2.73</c:v>
                </c:pt>
                <c:pt idx="12">
                  <c:v>4.8099999999999996</c:v>
                </c:pt>
                <c:pt idx="13">
                  <c:v>2.35</c:v>
                </c:pt>
                <c:pt idx="14">
                  <c:v>4.38</c:v>
                </c:pt>
                <c:pt idx="15">
                  <c:v>25.01</c:v>
                </c:pt>
                <c:pt idx="16">
                  <c:v>4.1099999999999994</c:v>
                </c:pt>
                <c:pt idx="17">
                  <c:v>2.57</c:v>
                </c:pt>
                <c:pt idx="18">
                  <c:v>3.3000000000000003</c:v>
                </c:pt>
                <c:pt idx="19">
                  <c:v>13.5</c:v>
                </c:pt>
                <c:pt idx="20">
                  <c:v>10.18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21-4DDB-BE3D-5174E6760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54448"/>
        <c:axId val="1083242480"/>
      </c:barChart>
      <c:catAx>
        <c:axId val="1083254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043940993060382"/>
              <c:y val="0.880750631354753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2480"/>
        <c:crosses val="autoZero"/>
        <c:auto val="1"/>
        <c:lblAlgn val="ctr"/>
        <c:lblOffset val="100"/>
        <c:noMultiLvlLbl val="0"/>
      </c:catAx>
      <c:valAx>
        <c:axId val="108324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'Frutos secos TOTAL'!$AA$77</c:f>
              <c:strCache>
                <c:ptCount val="1"/>
                <c:pt idx="0">
                  <c:v>RSU REGEPA 2020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'Frutos secos TOTAL'!$Z$78:$Z$83</c:f>
              <c:strCache>
                <c:ptCount val="6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  <c:pt idx="4">
                  <c:v>Castaño</c:v>
                </c:pt>
                <c:pt idx="5">
                  <c:v>Nogal</c:v>
                </c:pt>
              </c:strCache>
            </c:strRef>
          </c:cat>
          <c:val>
            <c:numRef>
              <c:f>'Frutos secos TOTAL'!$AA$78:$AA$83</c:f>
              <c:numCache>
                <c:formatCode>#,##0</c:formatCode>
                <c:ptCount val="6"/>
                <c:pt idx="0">
                  <c:v>596911.08999999962</c:v>
                </c:pt>
                <c:pt idx="1">
                  <c:v>0</c:v>
                </c:pt>
                <c:pt idx="2">
                  <c:v>419.01000000000005</c:v>
                </c:pt>
                <c:pt idx="3">
                  <c:v>15087.090000000004</c:v>
                </c:pt>
                <c:pt idx="4">
                  <c:v>9694.3499999999949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Algarrobo</a:t>
            </a:r>
            <a:r>
              <a:rPr lang="es-ES" b="1" baseline="0">
                <a:solidFill>
                  <a:sysClr val="windowText" lastClr="000000"/>
                </a:solidFill>
              </a:rPr>
              <a:t> </a:t>
            </a:r>
            <a:r>
              <a:rPr lang="es-ES" b="1">
                <a:solidFill>
                  <a:sysClr val="windowText" lastClr="000000"/>
                </a:solidFill>
              </a:rPr>
              <a:t>(Secano):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Plantaciones</a:t>
            </a:r>
            <a:r>
              <a:rPr lang="es-ES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6010756429587056"/>
          <c:y val="2.4390331317911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'ALG-EDAD'!$AI$4</c:f>
              <c:strCache>
                <c:ptCount val="1"/>
                <c:pt idx="0">
                  <c:v>Plan. Joven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015DF33-F6AF-4C0B-8312-1081A539CDA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C81014D-A778-4963-8CEA-D11CF61769B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BC40CFC-8DF5-4D97-A4AA-1F59E1C705F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C376D1D-9FC8-4D22-881F-FE3C7C2D17A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1979F5AF-3DCC-406A-AC19-05B041B03DA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'ALG-EDAD'!$AH$5:$AH$9</c:f>
              <c:strCache>
                <c:ptCount val="5"/>
                <c:pt idx="0">
                  <c:v>ANDALUCÍA</c:v>
                </c:pt>
                <c:pt idx="1">
                  <c:v>CATALUÑA</c:v>
                </c:pt>
                <c:pt idx="2">
                  <c:v>ISLAS BALEARES</c:v>
                </c:pt>
                <c:pt idx="3">
                  <c:v>C. VALENCIANA</c:v>
                </c:pt>
                <c:pt idx="4">
                  <c:v>MURCIA</c:v>
                </c:pt>
              </c:strCache>
            </c:strRef>
          </c:cat>
          <c:val>
            <c:numRef>
              <c:f>'ALG-EDAD'!$AI$5:$AI$9</c:f>
              <c:numCache>
                <c:formatCode>#,##0</c:formatCode>
                <c:ptCount val="5"/>
                <c:pt idx="0">
                  <c:v>74.039999999999992</c:v>
                </c:pt>
                <c:pt idx="1">
                  <c:v>50.069999999999993</c:v>
                </c:pt>
                <c:pt idx="2">
                  <c:v>67.430000000000007</c:v>
                </c:pt>
                <c:pt idx="3">
                  <c:v>32.58</c:v>
                </c:pt>
                <c:pt idx="4">
                  <c:v>15.14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'ALG-EDAD'!$AK$5:$AK$9</c15:f>
                <c15:dlblRangeCache>
                  <c:ptCount val="5"/>
                  <c:pt idx="0">
                    <c:v>7%</c:v>
                  </c:pt>
                  <c:pt idx="1">
                    <c:v>1%</c:v>
                  </c:pt>
                  <c:pt idx="2">
                    <c:v>3%</c:v>
                  </c:pt>
                  <c:pt idx="3">
                    <c:v>0%</c:v>
                  </c:pt>
                  <c:pt idx="4">
                    <c:v>2%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'ALG-EDAD'!$AJ$4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rgbClr val="663300"/>
                </a:gs>
                <a:gs pos="50000">
                  <a:srgbClr val="996633"/>
                </a:gs>
                <a:gs pos="100000">
                  <a:srgbClr val="CB9763"/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cat>
            <c:strRef>
              <c:f>'ALG-EDAD'!$AH$5:$AH$9</c:f>
              <c:strCache>
                <c:ptCount val="5"/>
                <c:pt idx="0">
                  <c:v>ANDALUCÍA</c:v>
                </c:pt>
                <c:pt idx="1">
                  <c:v>CATALUÑA</c:v>
                </c:pt>
                <c:pt idx="2">
                  <c:v>ISLAS BALEARES</c:v>
                </c:pt>
                <c:pt idx="3">
                  <c:v>C. VALENCIANA</c:v>
                </c:pt>
                <c:pt idx="4">
                  <c:v>MURCIA</c:v>
                </c:pt>
              </c:strCache>
            </c:strRef>
          </c:cat>
          <c:val>
            <c:numRef>
              <c:f>'ALG-EDAD'!$AJ$5:$AJ$9</c:f>
              <c:numCache>
                <c:formatCode>#,##0</c:formatCode>
                <c:ptCount val="5"/>
                <c:pt idx="0">
                  <c:v>1016.05</c:v>
                </c:pt>
                <c:pt idx="1">
                  <c:v>3616.1200000000003</c:v>
                </c:pt>
                <c:pt idx="2">
                  <c:v>2038.2099999999998</c:v>
                </c:pt>
                <c:pt idx="3">
                  <c:v>6962.659999999998</c:v>
                </c:pt>
                <c:pt idx="4">
                  <c:v>734.82000000000016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54992"/>
        <c:axId val="1083243568"/>
      </c:barChart>
      <c:catAx>
        <c:axId val="108325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3568"/>
        <c:crosses val="autoZero"/>
        <c:auto val="1"/>
        <c:lblAlgn val="ctr"/>
        <c:lblOffset val="100"/>
        <c:noMultiLvlLbl val="0"/>
      </c:catAx>
      <c:valAx>
        <c:axId val="108324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5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Algarrobo (secano)</a:t>
            </a:r>
          </a:p>
          <a:p>
            <a:pPr>
              <a:defRPr/>
            </a:pPr>
            <a:r>
              <a:rPr lang="es-ES">
                <a:solidFill>
                  <a:sysClr val="windowText" lastClr="000000"/>
                </a:solidFill>
              </a:rPr>
              <a:t>Evolución de superficie plantada</a:t>
            </a:r>
          </a:p>
        </c:rich>
      </c:tx>
      <c:layout>
        <c:manualLayout>
          <c:xMode val="edge"/>
          <c:yMode val="edge"/>
          <c:x val="0.30956584469773324"/>
          <c:y val="2.2759605105917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'ALG-EDAD'!$A$27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D7AE8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580E5F9-92DB-4F89-ADB5-A693A26CD42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EB4B74C-3455-4F63-8DF5-B8BBA00F5F0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131D280-0186-4E11-A48E-833B7AD9F30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36214C8-73CC-416E-8579-141B5CD3C8F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3F275CF-8F01-44F7-B9D4-C5AEBE0E275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2EB091D0-8AF9-45C9-8DA7-291121D6C8E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FAD4C9D-43B3-43F3-BC59-06FD7979100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D3E73B04-DAC7-4B23-AD59-8A46BEA62C7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62A0618-A0BA-4126-911B-6421E454DA4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8F34E630-62E8-40BE-AD1B-7EDD1638E03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FED7C4B-FEE1-45EB-A376-8BB9F47555E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FBE04908-21C0-48EB-84A5-E5CB5B0EA68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15F93550-8EFC-4B24-9096-FDC21314D14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03A14982-FE5D-471C-81FA-44743A82753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B348ADD3-AA72-4D38-91E8-42A67AB7967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E0EB2D60-E180-4F18-8E95-1B606FB8CD9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2246FEC2-CA45-4798-8CF1-44E205AE506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8251DF51-2B81-4BF1-8D80-C7CDAC0EBE2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39FEDCF9-FE16-4187-8905-6010A20299D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328141E6-FB4A-4E6F-90C1-298FF77B1DE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4C54A5A6-6A96-4183-978C-92DE6073AB8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'ALG-EDAD'!$C$4:$W$4</c:f>
              <c:numCache>
                <c:formatCode>#,##0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'ALG-EDAD'!$C$28:$W$28</c:f>
              <c:numCache>
                <c:formatCode>#,##0</c:formatCode>
                <c:ptCount val="21"/>
                <c:pt idx="0">
                  <c:v>11954.529999999999</c:v>
                </c:pt>
                <c:pt idx="1">
                  <c:v>11982.9</c:v>
                </c:pt>
                <c:pt idx="2">
                  <c:v>12012.46</c:v>
                </c:pt>
                <c:pt idx="3">
                  <c:v>12062.259999999998</c:v>
                </c:pt>
                <c:pt idx="4">
                  <c:v>12193.269999999999</c:v>
                </c:pt>
                <c:pt idx="5">
                  <c:v>12274.699999999999</c:v>
                </c:pt>
                <c:pt idx="6">
                  <c:v>12345.029999999999</c:v>
                </c:pt>
                <c:pt idx="7">
                  <c:v>12403.13</c:v>
                </c:pt>
                <c:pt idx="8">
                  <c:v>12436.519999999999</c:v>
                </c:pt>
                <c:pt idx="9">
                  <c:v>12502.109999999999</c:v>
                </c:pt>
                <c:pt idx="10">
                  <c:v>12552.369999999999</c:v>
                </c:pt>
                <c:pt idx="11">
                  <c:v>12574.699999999999</c:v>
                </c:pt>
                <c:pt idx="12">
                  <c:v>12615.07</c:v>
                </c:pt>
                <c:pt idx="13">
                  <c:v>12627.24</c:v>
                </c:pt>
                <c:pt idx="14">
                  <c:v>12675.33</c:v>
                </c:pt>
                <c:pt idx="15">
                  <c:v>12754.99</c:v>
                </c:pt>
                <c:pt idx="16">
                  <c:v>12798.78</c:v>
                </c:pt>
                <c:pt idx="17">
                  <c:v>12866.730000000001</c:v>
                </c:pt>
                <c:pt idx="18">
                  <c:v>12936.170000000002</c:v>
                </c:pt>
                <c:pt idx="19">
                  <c:v>12995.370000000003</c:v>
                </c:pt>
                <c:pt idx="20">
                  <c:v>13038.040000000003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C4-4EC6-A39F-38389D9E6EF3}"/>
            </c:ext>
            <c:ext xmlns:c15="http://schemas.microsoft.com/office/drawing/2012/chart" uri="{02D57815-91ED-43cb-92C2-25804820EDAC}">
              <c15:datalabelsRange>
                <c15:f>'ALG-EDAD'!$C$29:$W$29</c15:f>
                <c15:dlblRangeCache>
                  <c:ptCount val="21"/>
                  <c:pt idx="1">
                    <c:v>0%</c:v>
                  </c:pt>
                  <c:pt idx="2">
                    <c:v>0%</c:v>
                  </c:pt>
                  <c:pt idx="3">
                    <c:v>0%</c:v>
                  </c:pt>
                  <c:pt idx="4">
                    <c:v>1%</c:v>
                  </c:pt>
                  <c:pt idx="5">
                    <c:v>1%</c:v>
                  </c:pt>
                  <c:pt idx="6">
                    <c:v>1%</c:v>
                  </c:pt>
                  <c:pt idx="7">
                    <c:v>0%</c:v>
                  </c:pt>
                  <c:pt idx="8">
                    <c:v>0%</c:v>
                  </c:pt>
                  <c:pt idx="9">
                    <c:v>1%</c:v>
                  </c:pt>
                  <c:pt idx="10">
                    <c:v>0%</c:v>
                  </c:pt>
                  <c:pt idx="11">
                    <c:v>0%</c:v>
                  </c:pt>
                  <c:pt idx="12">
                    <c:v>0%</c:v>
                  </c:pt>
                  <c:pt idx="13">
                    <c:v>0%</c:v>
                  </c:pt>
                  <c:pt idx="14">
                    <c:v>0%</c:v>
                  </c:pt>
                  <c:pt idx="15">
                    <c:v>1%</c:v>
                  </c:pt>
                  <c:pt idx="16">
                    <c:v>0%</c:v>
                  </c:pt>
                  <c:pt idx="17">
                    <c:v>1%</c:v>
                  </c:pt>
                  <c:pt idx="18">
                    <c:v>1%</c:v>
                  </c:pt>
                  <c:pt idx="19">
                    <c:v>0%</c:v>
                  </c:pt>
                  <c:pt idx="20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3244112"/>
        <c:axId val="1085777056"/>
      </c:barChart>
      <c:catAx>
        <c:axId val="1083244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Años de plantación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77056"/>
        <c:crosses val="autoZero"/>
        <c:auto val="1"/>
        <c:lblAlgn val="ctr"/>
        <c:lblOffset val="100"/>
        <c:noMultiLvlLbl val="0"/>
      </c:catAx>
      <c:valAx>
        <c:axId val="1085777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324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Algarrobo (regadío)</a:t>
            </a:r>
            <a:endParaRPr lang="en-US" b="1" baseline="0">
              <a:solidFill>
                <a:sysClr val="windowText" lastClr="000000"/>
              </a:solidFill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baseline="0">
                <a:solidFill>
                  <a:sysClr val="windowText" lastClr="000000"/>
                </a:solidFill>
              </a:rPr>
              <a:t>Evolución de superficie plantada</a:t>
            </a:r>
            <a:endParaRPr lang="en-US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'ALG-EDAD'!$A$65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1860416-5ABB-4877-B9E5-09C22F9276D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7E58F41-668D-42E1-B498-B5483D3FFB7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1D1A05C-8883-4B65-8C81-54B94A43A85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41666A0-7212-4519-9036-9A36CE2743C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8F16ADB-9FD2-4739-932D-96AED3E9B8C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45077652-506E-41AD-99FA-CB7BD57E703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F9CC940-44D6-4D30-A230-611B320DC86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0834F051-91AD-41A5-AFA4-F6D3C273145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1997D7DC-C343-4452-87F0-15D55066429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EF8B5A79-ECC7-4C67-AE71-96F97B23EA8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EFDAB824-6EDA-4349-85DB-7E5A4C6CC7E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0EC4E7AF-A6D9-4BF5-97BC-CF96B74F585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C157733-2F1B-4556-877D-13DED3E3F23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501FEFCF-583B-4F3D-A107-91EC5E9FA98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ED3030E9-0244-4801-A1DE-FA373B93F6E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33E35178-68F1-49C1-8B3A-B61DBEC828C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35076B14-D1D0-42A2-8575-58E777AA4AC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9AA135B3-5F3F-4D64-B45B-711C0EF4EA9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B75EABDD-F0CD-4C5A-800A-FD8E79A23CC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D6D78727-9E8F-4113-B0D1-F4D52248962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CBD61613-3EA4-40E5-9DDA-D9B7C6293B2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'ALG-EDAD'!$C$43:$W$43</c:f>
              <c:numCache>
                <c:formatCode>#,##0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'ALG-EDAD'!$C$66:$W$66</c:f>
              <c:numCache>
                <c:formatCode>#,##0</c:formatCode>
                <c:ptCount val="21"/>
                <c:pt idx="0">
                  <c:v>559.63999999999987</c:v>
                </c:pt>
                <c:pt idx="1">
                  <c:v>562.99999999999989</c:v>
                </c:pt>
                <c:pt idx="2">
                  <c:v>574.59999999999991</c:v>
                </c:pt>
                <c:pt idx="3">
                  <c:v>575.31999999999994</c:v>
                </c:pt>
                <c:pt idx="4">
                  <c:v>581.79</c:v>
                </c:pt>
                <c:pt idx="5">
                  <c:v>587.82999999999993</c:v>
                </c:pt>
                <c:pt idx="6">
                  <c:v>595.29999999999995</c:v>
                </c:pt>
                <c:pt idx="7">
                  <c:v>599.68999999999994</c:v>
                </c:pt>
                <c:pt idx="8">
                  <c:v>607.26</c:v>
                </c:pt>
                <c:pt idx="9">
                  <c:v>614.37</c:v>
                </c:pt>
                <c:pt idx="10">
                  <c:v>620.48</c:v>
                </c:pt>
                <c:pt idx="11">
                  <c:v>623.21</c:v>
                </c:pt>
                <c:pt idx="12">
                  <c:v>628.02</c:v>
                </c:pt>
                <c:pt idx="13">
                  <c:v>630.37</c:v>
                </c:pt>
                <c:pt idx="14">
                  <c:v>634.75</c:v>
                </c:pt>
                <c:pt idx="15">
                  <c:v>659.76</c:v>
                </c:pt>
                <c:pt idx="16">
                  <c:v>663.87</c:v>
                </c:pt>
                <c:pt idx="17">
                  <c:v>666.44</c:v>
                </c:pt>
                <c:pt idx="18">
                  <c:v>669.74</c:v>
                </c:pt>
                <c:pt idx="19">
                  <c:v>683.24</c:v>
                </c:pt>
                <c:pt idx="20">
                  <c:v>693.42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21-4DDB-BE3D-5174E67609AD}"/>
            </c:ext>
            <c:ext xmlns:c15="http://schemas.microsoft.com/office/drawing/2012/chart" uri="{02D57815-91ED-43cb-92C2-25804820EDAC}">
              <c15:datalabelsRange>
                <c15:f>'ALG-EDAD'!$C$67:$W$67</c15:f>
                <c15:dlblRangeCache>
                  <c:ptCount val="21"/>
                  <c:pt idx="1">
                    <c:v>1%</c:v>
                  </c:pt>
                  <c:pt idx="2">
                    <c:v>2%</c:v>
                  </c:pt>
                  <c:pt idx="3">
                    <c:v>0%</c:v>
                  </c:pt>
                  <c:pt idx="4">
                    <c:v>1%</c:v>
                  </c:pt>
                  <c:pt idx="5">
                    <c:v>1%</c:v>
                  </c:pt>
                  <c:pt idx="6">
                    <c:v>1%</c:v>
                  </c:pt>
                  <c:pt idx="7">
                    <c:v>1%</c:v>
                  </c:pt>
                  <c:pt idx="8">
                    <c:v>1%</c:v>
                  </c:pt>
                  <c:pt idx="9">
                    <c:v>1%</c:v>
                  </c:pt>
                  <c:pt idx="10">
                    <c:v>1%</c:v>
                  </c:pt>
                  <c:pt idx="11">
                    <c:v>0%</c:v>
                  </c:pt>
                  <c:pt idx="12">
                    <c:v>1%</c:v>
                  </c:pt>
                  <c:pt idx="13">
                    <c:v>0%</c:v>
                  </c:pt>
                  <c:pt idx="14">
                    <c:v>1%</c:v>
                  </c:pt>
                  <c:pt idx="15">
                    <c:v>4%</c:v>
                  </c:pt>
                  <c:pt idx="16">
                    <c:v>1%</c:v>
                  </c:pt>
                  <c:pt idx="17">
                    <c:v>0%</c:v>
                  </c:pt>
                  <c:pt idx="18">
                    <c:v>0%</c:v>
                  </c:pt>
                  <c:pt idx="19">
                    <c:v>2%</c:v>
                  </c:pt>
                  <c:pt idx="20">
                    <c:v>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77600"/>
        <c:axId val="1085784672"/>
      </c:barChart>
      <c:catAx>
        <c:axId val="1085777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0054461003655112"/>
              <c:y val="0.913929515879521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4672"/>
        <c:crosses val="autoZero"/>
        <c:auto val="1"/>
        <c:lblAlgn val="ctr"/>
        <c:lblOffset val="100"/>
        <c:noMultiLvlLbl val="0"/>
      </c:catAx>
      <c:valAx>
        <c:axId val="108578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1.119037578339239E-2"/>
              <c:y val="0.35593481285495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7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ysClr val="windowText" lastClr="000000"/>
                </a:solidFill>
              </a:rPr>
              <a:t>Algarrobo</a:t>
            </a:r>
            <a:r>
              <a:rPr lang="es-ES" b="1" baseline="0">
                <a:solidFill>
                  <a:sysClr val="windowText" lastClr="000000"/>
                </a:solidFill>
              </a:rPr>
              <a:t> (Regadío)</a:t>
            </a:r>
            <a:endParaRPr lang="es-ES" b="1">
              <a:solidFill>
                <a:sysClr val="windowText" lastClr="000000"/>
              </a:solidFill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>
                <a:solidFill>
                  <a:sysClr val="windowText" lastClr="000000"/>
                </a:solidFill>
              </a:rPr>
              <a:t>Plantaciones</a:t>
            </a:r>
            <a:r>
              <a:rPr lang="es-ES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6010756429587056"/>
          <c:y val="2.4390331317911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'ALG-EDAD'!$AI$43</c:f>
              <c:strCache>
                <c:ptCount val="1"/>
                <c:pt idx="0">
                  <c:v>Plan. Joven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20000"/>
                    <a:lumOff val="80000"/>
                  </a:schemeClr>
                </a:gs>
                <a:gs pos="51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75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D11FFE25-671F-4B4A-BE21-58C4061B3F3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5D2C01D-76B8-4F13-BCAB-0B0C4AF7873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0129972-E9CA-4740-BE5D-CBF618B0B57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'ALG-EDAD'!$AH$44:$AH$46</c:f>
              <c:strCache>
                <c:ptCount val="3"/>
                <c:pt idx="0">
                  <c:v>CATALUÑA</c:v>
                </c:pt>
                <c:pt idx="1">
                  <c:v>C. VALENCIANA</c:v>
                </c:pt>
                <c:pt idx="2">
                  <c:v>ISLAS BALEARES</c:v>
                </c:pt>
              </c:strCache>
            </c:strRef>
          </c:cat>
          <c:val>
            <c:numRef>
              <c:f>'ALG-EDAD'!$AI$44:$AI$46</c:f>
              <c:numCache>
                <c:formatCode>#,##0</c:formatCode>
                <c:ptCount val="3"/>
                <c:pt idx="0">
                  <c:v>17.59</c:v>
                </c:pt>
                <c:pt idx="1">
                  <c:v>5.24</c:v>
                </c:pt>
                <c:pt idx="2">
                  <c:v>3.76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'ALG-EDAD'!$AK$44:$AK$46</c15:f>
                <c15:dlblRangeCache>
                  <c:ptCount val="3"/>
                  <c:pt idx="0">
                    <c:v>4%</c:v>
                  </c:pt>
                  <c:pt idx="1">
                    <c:v>6%</c:v>
                  </c:pt>
                  <c:pt idx="2">
                    <c:v>27%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'ALG-EDAD'!$AJ$43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50000"/>
                  </a:schemeClr>
                </a:gs>
                <a:gs pos="51000">
                  <a:schemeClr val="accent5">
                    <a:lumMod val="75000"/>
                  </a:schemeClr>
                </a:gs>
                <a:gs pos="100000">
                  <a:schemeClr val="accent5"/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cat>
            <c:strRef>
              <c:f>'ALG-EDAD'!$AH$44:$AH$46</c:f>
              <c:strCache>
                <c:ptCount val="3"/>
                <c:pt idx="0">
                  <c:v>CATALUÑA</c:v>
                </c:pt>
                <c:pt idx="1">
                  <c:v>C. VALENCIANA</c:v>
                </c:pt>
                <c:pt idx="2">
                  <c:v>ISLAS BALEARES</c:v>
                </c:pt>
              </c:strCache>
            </c:strRef>
          </c:cat>
          <c:val>
            <c:numRef>
              <c:f>'ALG-EDAD'!$AJ$44:$AJ$46</c:f>
              <c:numCache>
                <c:formatCode>#,##0</c:formatCode>
                <c:ptCount val="3"/>
                <c:pt idx="0">
                  <c:v>402.87000000000018</c:v>
                </c:pt>
                <c:pt idx="1">
                  <c:v>81.739999999999981</c:v>
                </c:pt>
                <c:pt idx="2">
                  <c:v>14.07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83584"/>
        <c:axId val="1085790112"/>
      </c:barChart>
      <c:catAx>
        <c:axId val="10857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90112"/>
        <c:crosses val="autoZero"/>
        <c:auto val="1"/>
        <c:lblAlgn val="ctr"/>
        <c:lblOffset val="100"/>
        <c:noMultiLvlLbl val="0"/>
      </c:catAx>
      <c:valAx>
        <c:axId val="108579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7.4211502782931356E-3"/>
              <c:y val="0.37680606927015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chemeClr val="tx1"/>
                </a:solidFill>
              </a:rPr>
              <a:t>Nogal</a:t>
            </a:r>
          </a:p>
          <a:p>
            <a:pPr>
              <a:defRPr sz="1600">
                <a:solidFill>
                  <a:schemeClr val="tx1"/>
                </a:solidFill>
              </a:defRPr>
            </a:pPr>
            <a:r>
              <a:rPr lang="es-ES" sz="1600">
                <a:solidFill>
                  <a:schemeClr val="tx1"/>
                </a:solidFill>
              </a:rPr>
              <a:t>Edades</a:t>
            </a:r>
            <a:r>
              <a:rPr lang="es-ES" sz="1600" baseline="0">
                <a:solidFill>
                  <a:schemeClr val="tx1"/>
                </a:solidFill>
              </a:rPr>
              <a:t> de Plantación</a:t>
            </a:r>
            <a:endParaRPr lang="es-ES" sz="1600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'NOG-EDAD'!$A$2</c:f>
              <c:strCache>
                <c:ptCount val="1"/>
                <c:pt idx="0">
                  <c:v>NOGAL</c:v>
                </c:pt>
              </c:strCache>
            </c:strRef>
          </c:tx>
          <c:spPr>
            <a:solidFill>
              <a:srgbClr val="CB966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'NOG-EDAD'!$B$3:$W$3</c15:sqref>
                  </c15:fullRef>
                </c:ext>
              </c:extLst>
              <c:f>'NOG-EDAD'!$C$3:$W$3</c:f>
              <c:strCache>
                <c:ptCount val="21"/>
                <c:pt idx="0">
                  <c:v>2.000</c:v>
                </c:pt>
                <c:pt idx="1">
                  <c:v>2.001</c:v>
                </c:pt>
                <c:pt idx="2">
                  <c:v>2.002</c:v>
                </c:pt>
                <c:pt idx="3">
                  <c:v>2.003</c:v>
                </c:pt>
                <c:pt idx="4">
                  <c:v>2.004</c:v>
                </c:pt>
                <c:pt idx="5">
                  <c:v>2.005</c:v>
                </c:pt>
                <c:pt idx="6">
                  <c:v>2.006</c:v>
                </c:pt>
                <c:pt idx="7">
                  <c:v>2.007</c:v>
                </c:pt>
                <c:pt idx="8">
                  <c:v>2.008</c:v>
                </c:pt>
                <c:pt idx="9">
                  <c:v>2.009</c:v>
                </c:pt>
                <c:pt idx="10">
                  <c:v>2.010</c:v>
                </c:pt>
                <c:pt idx="11">
                  <c:v>2.011</c:v>
                </c:pt>
                <c:pt idx="12">
                  <c:v>2.012</c:v>
                </c:pt>
                <c:pt idx="13">
                  <c:v>2.013</c:v>
                </c:pt>
                <c:pt idx="14">
                  <c:v>2.014</c:v>
                </c:pt>
                <c:pt idx="15">
                  <c:v>2.015</c:v>
                </c:pt>
                <c:pt idx="16">
                  <c:v>2.016</c:v>
                </c:pt>
                <c:pt idx="17">
                  <c:v>2.017</c:v>
                </c:pt>
                <c:pt idx="18">
                  <c:v>2.018</c:v>
                </c:pt>
                <c:pt idx="19">
                  <c:v>2.019</c:v>
                </c:pt>
                <c:pt idx="20">
                  <c:v>2.020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'NOG-EDAD'!$B$68:$W$68</c15:sqref>
                  </c15:fullRef>
                </c:ext>
              </c:extLst>
              <c:f>'NOG-EDAD'!$C$68:$W$68</c:f>
              <c:numCache>
                <c:formatCode>#,##0</c:formatCode>
                <c:ptCount val="21"/>
                <c:pt idx="0">
                  <c:v>316.98999999999995</c:v>
                </c:pt>
                <c:pt idx="1">
                  <c:v>102.85</c:v>
                </c:pt>
                <c:pt idx="2">
                  <c:v>66.94</c:v>
                </c:pt>
                <c:pt idx="3">
                  <c:v>54.510000000000005</c:v>
                </c:pt>
                <c:pt idx="4">
                  <c:v>183.03000000000003</c:v>
                </c:pt>
                <c:pt idx="5">
                  <c:v>408.73999999999995</c:v>
                </c:pt>
                <c:pt idx="6">
                  <c:v>332.21</c:v>
                </c:pt>
                <c:pt idx="7">
                  <c:v>278.67</c:v>
                </c:pt>
                <c:pt idx="8">
                  <c:v>142.25000000000003</c:v>
                </c:pt>
                <c:pt idx="9">
                  <c:v>357.68999999999994</c:v>
                </c:pt>
                <c:pt idx="10">
                  <c:v>208.59999999999997</c:v>
                </c:pt>
                <c:pt idx="11">
                  <c:v>118.96</c:v>
                </c:pt>
                <c:pt idx="12">
                  <c:v>171.97000000000003</c:v>
                </c:pt>
                <c:pt idx="13">
                  <c:v>169.55</c:v>
                </c:pt>
                <c:pt idx="14">
                  <c:v>322.08</c:v>
                </c:pt>
                <c:pt idx="15">
                  <c:v>647.12</c:v>
                </c:pt>
                <c:pt idx="16">
                  <c:v>966.70999999999992</c:v>
                </c:pt>
                <c:pt idx="17">
                  <c:v>669.59999999999991</c:v>
                </c:pt>
                <c:pt idx="18">
                  <c:v>685.82999999999993</c:v>
                </c:pt>
                <c:pt idx="19">
                  <c:v>816.62</c:v>
                </c:pt>
                <c:pt idx="20">
                  <c:v>382.26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35-495E-B1C2-3410A242A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87392"/>
        <c:axId val="1085778144"/>
      </c:barChart>
      <c:catAx>
        <c:axId val="1085787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3496370962061137"/>
              <c:y val="0.93450922801545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78144"/>
        <c:crosses val="autoZero"/>
        <c:auto val="1"/>
        <c:lblAlgn val="ctr"/>
        <c:lblOffset val="100"/>
        <c:noMultiLvlLbl val="0"/>
      </c:catAx>
      <c:valAx>
        <c:axId val="10857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600">
                <a:solidFill>
                  <a:schemeClr val="tx1"/>
                </a:solidFill>
              </a:rPr>
              <a:t>Nogal: Sin info de edad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902570810570501E-2"/>
          <c:y val="0.17156405147034454"/>
          <c:w val="0.93152735386903995"/>
          <c:h val="0.721129698959892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'NOG-EDAD'!$X$72</c:f>
              <c:strCache>
                <c:ptCount val="1"/>
                <c:pt idx="0">
                  <c:v>Sin info de edad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'NOG-EDAD'!$A$73:$A$88</c:f>
              <c:strCache>
                <c:ptCount val="16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C. VALENCIANA</c:v>
                </c:pt>
                <c:pt idx="4">
                  <c:v>C. y LEÓN</c:v>
                </c:pt>
                <c:pt idx="5">
                  <c:v>C.-LA MANCHA</c:v>
                </c:pt>
                <c:pt idx="6">
                  <c:v>CANTABRIA</c:v>
                </c:pt>
                <c:pt idx="7">
                  <c:v>CATALUÑA</c:v>
                </c:pt>
                <c:pt idx="8">
                  <c:v>EXTREMADURA</c:v>
                </c:pt>
                <c:pt idx="9">
                  <c:v>GALICIA</c:v>
                </c:pt>
                <c:pt idx="10">
                  <c:v>ISLAS BALEARES</c:v>
                </c:pt>
                <c:pt idx="11">
                  <c:v>LA RIOJA</c:v>
                </c:pt>
                <c:pt idx="12">
                  <c:v>MADRID</c:v>
                </c:pt>
                <c:pt idx="13">
                  <c:v>MURCIA</c:v>
                </c:pt>
                <c:pt idx="14">
                  <c:v>NAVARRA</c:v>
                </c:pt>
                <c:pt idx="15">
                  <c:v>PAIS VASCO</c:v>
                </c:pt>
              </c:strCache>
            </c:strRef>
          </c:cat>
          <c:val>
            <c:numRef>
              <c:f>'NOG-EDAD'!$X$73:$X$88</c:f>
              <c:numCache>
                <c:formatCode>0.0%</c:formatCode>
                <c:ptCount val="16"/>
                <c:pt idx="0" formatCode="0.00%">
                  <c:v>9.1568218322650376E-4</c:v>
                </c:pt>
                <c:pt idx="1">
                  <c:v>4.4456210176546844E-3</c:v>
                </c:pt>
                <c:pt idx="2" formatCode="0%">
                  <c:v>1</c:v>
                </c:pt>
                <c:pt idx="3" formatCode="0%">
                  <c:v>8.4261460810077984E-3</c:v>
                </c:pt>
                <c:pt idx="4">
                  <c:v>7.3546311192829233E-3</c:v>
                </c:pt>
                <c:pt idx="5" formatCode="0.00%">
                  <c:v>1.202652643283015E-3</c:v>
                </c:pt>
                <c:pt idx="6" formatCode="0%">
                  <c:v>1</c:v>
                </c:pt>
                <c:pt idx="7" formatCode="0.00%">
                  <c:v>1.1375598492308738E-3</c:v>
                </c:pt>
                <c:pt idx="8" formatCode="0%">
                  <c:v>0</c:v>
                </c:pt>
                <c:pt idx="9" formatCode="0%">
                  <c:v>6.2950504565112933E-2</c:v>
                </c:pt>
                <c:pt idx="10" formatCode="0%">
                  <c:v>0</c:v>
                </c:pt>
                <c:pt idx="11" formatCode="0.00%">
                  <c:v>3.299746626598315E-3</c:v>
                </c:pt>
                <c:pt idx="12" formatCode="0%">
                  <c:v>0.14211886304909563</c:v>
                </c:pt>
                <c:pt idx="13" formatCode="0.00%">
                  <c:v>3.2815576460293143E-4</c:v>
                </c:pt>
                <c:pt idx="14">
                  <c:v>4.5022785922143515E-3</c:v>
                </c:pt>
                <c:pt idx="15" formatCode="0%">
                  <c:v>1.3464147792506003E-2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7-4D2C-B1ED-39863DC0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5789568"/>
        <c:axId val="1085785760"/>
      </c:barChart>
      <c:catAx>
        <c:axId val="1085789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5760"/>
        <c:crosses val="autoZero"/>
        <c:auto val="1"/>
        <c:lblAlgn val="ctr"/>
        <c:lblOffset val="100"/>
        <c:noMultiLvlLbl val="0"/>
      </c:catAx>
      <c:valAx>
        <c:axId val="1085785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ysClr val="windowText" lastClr="000000"/>
                </a:solidFill>
              </a:rPr>
              <a:t>Nogal: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ES" sz="1600">
                <a:solidFill>
                  <a:sysClr val="windowText" lastClr="000000"/>
                </a:solidFill>
              </a:rPr>
              <a:t>Plantaciones</a:t>
            </a:r>
            <a:r>
              <a:rPr lang="es-ES" sz="1600" baseline="0">
                <a:solidFill>
                  <a:sysClr val="windowText" lastClr="000000"/>
                </a:solidFill>
              </a:rPr>
              <a:t> jóvenes en las principales CC.AA. productoras</a:t>
            </a:r>
            <a:endParaRPr lang="es-ES" sz="16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6228974665560914"/>
          <c:y val="2.43902439024390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'NOG-EDAD'!$AS$3</c:f>
              <c:strCache>
                <c:ptCount val="1"/>
                <c:pt idx="0">
                  <c:v>Plan. Joven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1DC0D15-11E8-4865-AADA-D0ABE521811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73F4AAD-ADEF-4506-96C2-E781132E1E3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B2BAC67-78E6-4062-B2CA-BD2AFF4F896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350C60F-9D0C-40BE-B111-7C1F81A5471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58F6507-13C4-4D23-888B-8971ECA6EE6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'NOG-EDAD'!$AR$4:$AR$8</c:f>
              <c:strCache>
                <c:ptCount val="5"/>
                <c:pt idx="0">
                  <c:v>EXTREMADURA</c:v>
                </c:pt>
                <c:pt idx="1">
                  <c:v>ARAGÓN</c:v>
                </c:pt>
                <c:pt idx="2">
                  <c:v>ANDALUCÍA</c:v>
                </c:pt>
                <c:pt idx="3">
                  <c:v>C.-LA MANCHA</c:v>
                </c:pt>
                <c:pt idx="4">
                  <c:v>CATALUÑA</c:v>
                </c:pt>
              </c:strCache>
            </c:strRef>
          </c:cat>
          <c:val>
            <c:numRef>
              <c:f>'NOG-EDAD'!$AS$4:$AS$8</c:f>
              <c:numCache>
                <c:formatCode>#,##0</c:formatCode>
                <c:ptCount val="5"/>
                <c:pt idx="0">
                  <c:v>710.94999999999993</c:v>
                </c:pt>
                <c:pt idx="1">
                  <c:v>512.9</c:v>
                </c:pt>
                <c:pt idx="2">
                  <c:v>432.31000000000006</c:v>
                </c:pt>
                <c:pt idx="3">
                  <c:v>407.92999999999995</c:v>
                </c:pt>
                <c:pt idx="4">
                  <c:v>210.85000000000002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'NOG-EDAD'!$AU$4:$AU$8</c15:f>
                <c15:dlblRangeCache>
                  <c:ptCount val="5"/>
                  <c:pt idx="0">
                    <c:v>30%</c:v>
                  </c:pt>
                  <c:pt idx="1">
                    <c:v>47%</c:v>
                  </c:pt>
                  <c:pt idx="2">
                    <c:v>32%</c:v>
                  </c:pt>
                  <c:pt idx="3">
                    <c:v>23%</c:v>
                  </c:pt>
                  <c:pt idx="4">
                    <c:v>18%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'NOG-EDAD'!$AT$3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rgbClr val="663300"/>
                </a:gs>
                <a:gs pos="50000">
                  <a:srgbClr val="996633"/>
                </a:gs>
                <a:gs pos="100000">
                  <a:srgbClr val="D7AE85"/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cat>
            <c:strRef>
              <c:f>'NOG-EDAD'!$AR$4:$AR$8</c:f>
              <c:strCache>
                <c:ptCount val="5"/>
                <c:pt idx="0">
                  <c:v>EXTREMADURA</c:v>
                </c:pt>
                <c:pt idx="1">
                  <c:v>ARAGÓN</c:v>
                </c:pt>
                <c:pt idx="2">
                  <c:v>ANDALUCÍA</c:v>
                </c:pt>
                <c:pt idx="3">
                  <c:v>C.-LA MANCHA</c:v>
                </c:pt>
                <c:pt idx="4">
                  <c:v>CATALUÑA</c:v>
                </c:pt>
              </c:strCache>
            </c:strRef>
          </c:cat>
          <c:val>
            <c:numRef>
              <c:f>'NOG-EDAD'!$AT$4:$AT$8</c:f>
              <c:numCache>
                <c:formatCode>#,##0</c:formatCode>
                <c:ptCount val="5"/>
                <c:pt idx="0">
                  <c:v>2366.79</c:v>
                </c:pt>
                <c:pt idx="1">
                  <c:v>1095.4599999999998</c:v>
                </c:pt>
                <c:pt idx="2">
                  <c:v>1332.3400000000004</c:v>
                </c:pt>
                <c:pt idx="3">
                  <c:v>1762.77</c:v>
                </c:pt>
                <c:pt idx="4">
                  <c:v>1177.9599999999998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82496"/>
        <c:axId val="1085781408"/>
      </c:barChart>
      <c:catAx>
        <c:axId val="108578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1408"/>
        <c:crosses val="autoZero"/>
        <c:auto val="1"/>
        <c:lblAlgn val="ctr"/>
        <c:lblOffset val="100"/>
        <c:noMultiLvlLbl val="0"/>
      </c:catAx>
      <c:valAx>
        <c:axId val="108578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chemeClr val="tx1"/>
                </a:solidFill>
              </a:rPr>
              <a:t>Nogal</a:t>
            </a:r>
          </a:p>
          <a:p>
            <a:pPr>
              <a:defRPr sz="1600">
                <a:solidFill>
                  <a:schemeClr val="tx1"/>
                </a:solidFill>
              </a:defRPr>
            </a:pPr>
            <a:r>
              <a:rPr lang="es-ES" sz="1600">
                <a:solidFill>
                  <a:schemeClr val="tx1"/>
                </a:solidFill>
              </a:rPr>
              <a:t>Evolución de superficie plantada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'NOG-EDAD'!$A$2</c:f>
              <c:strCache>
                <c:ptCount val="1"/>
                <c:pt idx="0">
                  <c:v>NOGAL</c:v>
                </c:pt>
              </c:strCache>
            </c:strRef>
          </c:tx>
          <c:spPr>
            <a:solidFill>
              <a:srgbClr val="D7AE8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CC672C1-966F-4626-9870-4C72C3242A1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C9E3259-AD20-41DB-9BAB-DB863D2DEB7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2865667-79E7-4068-9550-B410AADF899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5824FF7-9BBE-4F3C-93DC-712AF15916E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13FA62A-6BB3-4D87-B0ED-933A405AEAE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2C23DEB8-793A-4DBA-BF07-9CEFA5BF1DF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91A0B2A-7449-41C6-8057-80CFA04793C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65DA96DB-09FD-4EA4-967A-43DB31433F4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CE8B3C47-7777-4D48-B7E9-6FDA266F603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F8B33606-344F-4A32-8C44-6A6564D02BA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FC68525-4CB7-4555-A837-4A6544DE213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FEE91668-8A50-4707-98BE-8B27AD50259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851AA8D8-8CDE-487D-BE7B-8499457A0CB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01230551-37D0-41D1-9256-44D467783D2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35CE4E75-DB86-4039-968C-50E0918CA54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90D4FA61-8146-4DA6-8678-D52CD1B9715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94279FE0-32FE-4636-88B3-5F01FF1F816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237A4164-D208-4B59-B253-53A4C09A2AC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13F9C179-D4F3-44E7-B888-D5D1A53B4B8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D1BD0AEB-E442-4B8A-8AAC-9A4905B4C2C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9C268147-477C-4B18-BAAF-C87752420DA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'NOG-EDAD'!$C$3:$W$3</c:f>
              <c:numCache>
                <c:formatCode>#,##0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'NOG-EDAD'!$C$69:$W$69</c:f>
              <c:numCache>
                <c:formatCode>#,##0</c:formatCode>
                <c:ptCount val="21"/>
                <c:pt idx="0">
                  <c:v>2433.1199999999994</c:v>
                </c:pt>
                <c:pt idx="1">
                  <c:v>2535.9699999999993</c:v>
                </c:pt>
                <c:pt idx="2">
                  <c:v>2602.9099999999994</c:v>
                </c:pt>
                <c:pt idx="3">
                  <c:v>2657.4199999999996</c:v>
                </c:pt>
                <c:pt idx="4">
                  <c:v>2840.45</c:v>
                </c:pt>
                <c:pt idx="5">
                  <c:v>3249.1899999999996</c:v>
                </c:pt>
                <c:pt idx="6">
                  <c:v>3581.3999999999996</c:v>
                </c:pt>
                <c:pt idx="7">
                  <c:v>3860.0699999999997</c:v>
                </c:pt>
                <c:pt idx="8">
                  <c:v>4002.3199999999997</c:v>
                </c:pt>
                <c:pt idx="9">
                  <c:v>4360.0099999999993</c:v>
                </c:pt>
                <c:pt idx="10">
                  <c:v>4568.6099999999997</c:v>
                </c:pt>
                <c:pt idx="11">
                  <c:v>4687.57</c:v>
                </c:pt>
                <c:pt idx="12">
                  <c:v>4859.54</c:v>
                </c:pt>
                <c:pt idx="13">
                  <c:v>5029.09</c:v>
                </c:pt>
                <c:pt idx="14">
                  <c:v>5351.17</c:v>
                </c:pt>
                <c:pt idx="15">
                  <c:v>5998.29</c:v>
                </c:pt>
                <c:pt idx="16">
                  <c:v>6965</c:v>
                </c:pt>
                <c:pt idx="17">
                  <c:v>7634.6</c:v>
                </c:pt>
                <c:pt idx="18">
                  <c:v>8320.43</c:v>
                </c:pt>
                <c:pt idx="19">
                  <c:v>9137.0500000000011</c:v>
                </c:pt>
                <c:pt idx="20">
                  <c:v>9519.3100000000013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35-495E-B1C2-3410A242A5B9}"/>
            </c:ext>
            <c:ext xmlns:c15="http://schemas.microsoft.com/office/drawing/2012/chart" uri="{02D57815-91ED-43cb-92C2-25804820EDAC}">
              <c15:datalabelsRange>
                <c15:f>'NOG-EDAD'!$C$70:$W$70</c15:f>
                <c15:dlblRangeCache>
                  <c:ptCount val="21"/>
                  <c:pt idx="1">
                    <c:v>4%</c:v>
                  </c:pt>
                  <c:pt idx="2">
                    <c:v>3%</c:v>
                  </c:pt>
                  <c:pt idx="3">
                    <c:v>2%</c:v>
                  </c:pt>
                  <c:pt idx="4">
                    <c:v>7%</c:v>
                  </c:pt>
                  <c:pt idx="5">
                    <c:v>14%</c:v>
                  </c:pt>
                  <c:pt idx="6">
                    <c:v>10%</c:v>
                  </c:pt>
                  <c:pt idx="7">
                    <c:v>8%</c:v>
                  </c:pt>
                  <c:pt idx="8">
                    <c:v>4%</c:v>
                  </c:pt>
                  <c:pt idx="9">
                    <c:v>9%</c:v>
                  </c:pt>
                  <c:pt idx="10">
                    <c:v>5%</c:v>
                  </c:pt>
                  <c:pt idx="11">
                    <c:v>3%</c:v>
                  </c:pt>
                  <c:pt idx="12">
                    <c:v>4%</c:v>
                  </c:pt>
                  <c:pt idx="13">
                    <c:v>3%</c:v>
                  </c:pt>
                  <c:pt idx="14">
                    <c:v>6%</c:v>
                  </c:pt>
                  <c:pt idx="15">
                    <c:v>12%</c:v>
                  </c:pt>
                  <c:pt idx="16">
                    <c:v>16%</c:v>
                  </c:pt>
                  <c:pt idx="17">
                    <c:v>10%</c:v>
                  </c:pt>
                  <c:pt idx="18">
                    <c:v>9%</c:v>
                  </c:pt>
                  <c:pt idx="19">
                    <c:v>10%</c:v>
                  </c:pt>
                  <c:pt idx="20">
                    <c:v>4%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83040"/>
        <c:axId val="1085780320"/>
      </c:barChart>
      <c:catAx>
        <c:axId val="1085783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Años de plantación</a:t>
                </a:r>
              </a:p>
            </c:rich>
          </c:tx>
          <c:layout>
            <c:manualLayout>
              <c:xMode val="edge"/>
              <c:yMode val="edge"/>
              <c:x val="0.43496370962061137"/>
              <c:y val="0.93450922801545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0320"/>
        <c:crosses val="autoZero"/>
        <c:auto val="1"/>
        <c:lblAlgn val="ctr"/>
        <c:lblOffset val="100"/>
        <c:noMultiLvlLbl val="0"/>
      </c:catAx>
      <c:valAx>
        <c:axId val="108578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chemeClr val="tx1"/>
                </a:solidFill>
              </a:rPr>
              <a:t>ALMENDRO</a:t>
            </a:r>
            <a:r>
              <a:rPr lang="en-US" sz="1600">
                <a:solidFill>
                  <a:schemeClr val="tx1"/>
                </a:solidFill>
              </a:rPr>
              <a:t>: Distribución</a:t>
            </a:r>
            <a:r>
              <a:rPr lang="en-US" sz="1600" baseline="0">
                <a:solidFill>
                  <a:schemeClr val="tx1"/>
                </a:solidFill>
              </a:rPr>
              <a:t> de la pendente en cultivo</a:t>
            </a:r>
            <a:r>
              <a:rPr lang="en-US" sz="1600">
                <a:solidFill>
                  <a:schemeClr val="tx1"/>
                </a:solidFill>
              </a:rPr>
              <a:t> en España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'ALM-PEND'!$A$23:$B$23</c:f>
              <c:strCache>
                <c:ptCount val="2"/>
                <c:pt idx="0">
                  <c:v>ALMENDRO: Total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75000"/>
                  </a:schemeClr>
                </a:gs>
                <a:gs pos="50000">
                  <a:schemeClr val="accent4">
                    <a:lumMod val="60000"/>
                    <a:lumOff val="40000"/>
                  </a:schemeClr>
                </a:gs>
                <a:gs pos="100000">
                  <a:schemeClr val="accent4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B7EB932-C5C4-48E4-BC7F-39B0107941E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8E-4CDE-883C-4FB06F53535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07F833A-AD63-4FE4-BF89-DB26C7455D8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7BDB8F5-66FD-4292-9374-889DDA4B5AD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EEFA6D1-6A7E-436A-B196-0CF42D01BA6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'ALM-PEND'!$B$41:$E$41</c:f>
              <c:numCache>
                <c:formatCode>#,##0</c:formatCode>
                <c:ptCount val="4"/>
                <c:pt idx="0">
                  <c:v>199089.06600000101</c:v>
                </c:pt>
                <c:pt idx="1">
                  <c:v>183279.23100000099</c:v>
                </c:pt>
                <c:pt idx="2">
                  <c:v>79678.943000000305</c:v>
                </c:pt>
                <c:pt idx="3">
                  <c:v>96620.257833334806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'ALM-PEND'!$I$41:$L$41</c15:f>
                <c15:dlblRangeCache>
                  <c:ptCount val="4"/>
                  <c:pt idx="0">
                    <c:v>36%</c:v>
                  </c:pt>
                  <c:pt idx="1">
                    <c:v>33%</c:v>
                  </c:pt>
                  <c:pt idx="2">
                    <c:v>14%</c:v>
                  </c:pt>
                  <c:pt idx="3">
                    <c:v>17%</c:v>
                  </c:pt>
                </c15:dlblRangeCache>
              </c15:datalabelsRange>
            </c:ext>
          </c:extLst>
        </c:ser>
        <c:ser>
          <c:idx val="0"/>
          <c:order val="1"/>
          <c:tx>
            <c:strRef>
              <c:f>'ALM-PEND'!$A$2:$B$2</c:f>
              <c:strCache>
                <c:ptCount val="2"/>
                <c:pt idx="0">
                  <c:v>ALMENDRO: Secano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A627285-FC9A-4234-BEE1-52AB51FA2D7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C30769F-9003-43B9-8454-AF01076700F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ABD1724-9619-4F72-9815-9D26721B5EB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6552298-58E4-4B8D-A545-3F6B149F0F0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'ALM-PEND'!$B$3:$E$3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'ALM-PEND'!$B$20:$E$20</c:f>
              <c:numCache>
                <c:formatCode>#,##0</c:formatCode>
                <c:ptCount val="4"/>
                <c:pt idx="0">
                  <c:v>145008.920000001</c:v>
                </c:pt>
                <c:pt idx="1">
                  <c:v>159197.844000001</c:v>
                </c:pt>
                <c:pt idx="2">
                  <c:v>74215.818000000203</c:v>
                </c:pt>
                <c:pt idx="3">
                  <c:v>94094.162500001301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E-4CDE-883C-4FB06F535352}"/>
            </c:ext>
            <c:ext xmlns:c15="http://schemas.microsoft.com/office/drawing/2012/chart" uri="{02D57815-91ED-43cb-92C2-25804820EDAC}">
              <c15:datalabelsRange>
                <c15:f>'ALM-PEND'!$I$20:$L$20</c15:f>
                <c15:dlblRangeCache>
                  <c:ptCount val="4"/>
                  <c:pt idx="0">
                    <c:v>31%</c:v>
                  </c:pt>
                  <c:pt idx="1">
                    <c:v>34%</c:v>
                  </c:pt>
                  <c:pt idx="2">
                    <c:v>16%</c:v>
                  </c:pt>
                  <c:pt idx="3">
                    <c:v>20%</c:v>
                  </c:pt>
                </c15:dlblRangeCache>
              </c15:datalabelsRange>
            </c:ext>
          </c:extLst>
        </c:ser>
        <c:ser>
          <c:idx val="1"/>
          <c:order val="2"/>
          <c:tx>
            <c:strRef>
              <c:f>'ALM-PEND'!$P$2:$Q$2</c:f>
              <c:strCache>
                <c:ptCount val="2"/>
                <c:pt idx="0">
                  <c:v>ALMENDRO: Regadío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D2AF32C0-0047-487F-A7F8-56B2806805D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ECA4E9A-122C-40FD-B261-66B44083818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657F130-13B9-4802-825D-139AE13BB9A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C98CF85-1401-4633-A778-94B2A17EE86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'ALM-PEND'!$B$3:$E$3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'ALM-PEND'!$Q$20:$T$20</c:f>
              <c:numCache>
                <c:formatCode>#,##0</c:formatCode>
                <c:ptCount val="4"/>
                <c:pt idx="0">
                  <c:v>54080.146000000001</c:v>
                </c:pt>
                <c:pt idx="1">
                  <c:v>24081.386999999999</c:v>
                </c:pt>
                <c:pt idx="2">
                  <c:v>5463.125</c:v>
                </c:pt>
                <c:pt idx="3">
                  <c:v>2526.09533333333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'ALM-PEND'!$Q$41:$T$41</c15:f>
                <c15:dlblRangeCache>
                  <c:ptCount val="4"/>
                  <c:pt idx="0">
                    <c:v>63%</c:v>
                  </c:pt>
                  <c:pt idx="1">
                    <c:v>28%</c:v>
                  </c:pt>
                  <c:pt idx="2">
                    <c:v>6%</c:v>
                  </c:pt>
                  <c:pt idx="3">
                    <c:v>3%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78688"/>
        <c:axId val="1085779776"/>
      </c:barChart>
      <c:catAx>
        <c:axId val="108577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chemeClr val="tx1"/>
                    </a:solidFill>
                  </a:rPr>
                  <a:t>Tramos de pendiente</a:t>
                </a:r>
              </a:p>
            </c:rich>
          </c:tx>
          <c:layout>
            <c:manualLayout>
              <c:xMode val="edge"/>
              <c:yMode val="edge"/>
              <c:x val="0.42027744566820413"/>
              <c:y val="0.82123509765638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79776"/>
        <c:crosses val="autoZero"/>
        <c:auto val="1"/>
        <c:lblAlgn val="ctr"/>
        <c:lblOffset val="100"/>
        <c:noMultiLvlLbl val="0"/>
      </c:catAx>
      <c:valAx>
        <c:axId val="108577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2.0398698922212768E-2"/>
              <c:y val="0.366441388286954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7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696345873154845"/>
          <c:y val="0.9205263647221209"/>
          <c:w val="0.67184874415855445"/>
          <c:h val="7.0102340749640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Pendiente total en España por producto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'PIS-PEND'!$B$44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'PIS-PEND'!$A$45:$A$50</c:f>
              <c:numCache>
                <c:formatCode>General</c:formatCode>
                <c:ptCount val="6"/>
              </c:numCache>
            </c:numRef>
          </c:cat>
          <c:val>
            <c:numRef>
              <c:f>'PIS-PEND'!$B$45:$B$50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5C-4EF2-B32E-F520A8FBC832}"/>
            </c:ext>
          </c:extLst>
        </c:ser>
        <c:ser>
          <c:idx val="1"/>
          <c:order val="1"/>
          <c:tx>
            <c:strRef>
              <c:f>'PIS-PEND'!$C$44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'PIS-PEND'!$A$45:$A$50</c:f>
              <c:numCache>
                <c:formatCode>General</c:formatCode>
                <c:ptCount val="6"/>
              </c:numCache>
            </c:numRef>
          </c:cat>
          <c:val>
            <c:numRef>
              <c:f>'PIS-PEND'!$C$45:$C$50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5C-4EF2-B32E-F520A8FBC832}"/>
            </c:ext>
          </c:extLst>
        </c:ser>
        <c:ser>
          <c:idx val="2"/>
          <c:order val="2"/>
          <c:tx>
            <c:strRef>
              <c:f>'PIS-PEND'!$D$44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'PIS-PEND'!$A$45:$A$50</c:f>
              <c:numCache>
                <c:formatCode>General</c:formatCode>
                <c:ptCount val="6"/>
              </c:numCache>
            </c:numRef>
          </c:cat>
          <c:val>
            <c:numRef>
              <c:f>'PIS-PEND'!$D$45:$D$50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5C-4EF2-B32E-F520A8FBC832}"/>
            </c:ext>
          </c:extLst>
        </c:ser>
        <c:ser>
          <c:idx val="3"/>
          <c:order val="3"/>
          <c:tx>
            <c:strRef>
              <c:f>'PIS-PEND'!$E$44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'PIS-PEND'!$A$45:$A$50</c:f>
              <c:numCache>
                <c:formatCode>General</c:formatCode>
                <c:ptCount val="6"/>
              </c:numCache>
            </c:numRef>
          </c:cat>
          <c:val>
            <c:numRef>
              <c:f>'PIS-PEND'!$E$45:$E$50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A5C-4EF2-B32E-F520A8FB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85216"/>
        <c:axId val="1085784128"/>
      </c:barChart>
      <c:catAx>
        <c:axId val="10857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4128"/>
        <c:crosses val="autoZero"/>
        <c:auto val="1"/>
        <c:lblAlgn val="ctr"/>
        <c:lblOffset val="100"/>
        <c:noMultiLvlLbl val="0"/>
      </c:catAx>
      <c:valAx>
        <c:axId val="108578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Total Frutos Secos</a:t>
            </a:r>
            <a:r>
              <a:rPr lang="es-ES" sz="1400" b="0" i="0" baseline="0">
                <a:effectLst/>
              </a:rPr>
              <a:t>: </a:t>
            </a:r>
          </a:p>
          <a:p>
            <a:pPr>
              <a:defRPr/>
            </a:pPr>
            <a:r>
              <a:rPr lang="es-ES" sz="1400" b="0" i="0" baseline="0">
                <a:effectLst/>
              </a:rPr>
              <a:t>Superficies anuales 2020 vs RSU REGEPA 2020</a:t>
            </a:r>
            <a:endParaRPr lang="es-ES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'Frutos secos TOTAL'!$N$5</c:f>
              <c:strCache>
                <c:ptCount val="1"/>
                <c:pt idx="0">
                  <c:v>Superficies anuales 2020 (ha)</c:v>
                </c:pt>
              </c:strCache>
            </c:strRef>
          </c:tx>
          <c:spPr>
            <a:solidFill>
              <a:srgbClr val="663300"/>
            </a:solidFill>
            <a:ln>
              <a:noFill/>
            </a:ln>
            <a:effectLst/>
            <a:sp3d/>
          </c:spPr>
          <c:invertIfNegative val="0"/>
          <c:cat>
            <c:strRef>
              <c:f>'Frutos secos TOTAL'!$M$6:$M$11</c:f>
              <c:strCache>
                <c:ptCount val="6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Algarrobo*</c:v>
                </c:pt>
                <c:pt idx="4">
                  <c:v>Castaño</c:v>
                </c:pt>
                <c:pt idx="5">
                  <c:v>Nogal</c:v>
                </c:pt>
              </c:strCache>
            </c:strRef>
          </c:cat>
          <c:val>
            <c:numRef>
              <c:f>'Frutos secos TOTAL'!$N$6:$N$11</c:f>
              <c:numCache>
                <c:formatCode>#,##0</c:formatCode>
                <c:ptCount val="6"/>
                <c:pt idx="0">
                  <c:v>718540</c:v>
                </c:pt>
                <c:pt idx="1">
                  <c:v>49534</c:v>
                </c:pt>
                <c:pt idx="2">
                  <c:v>13067</c:v>
                </c:pt>
                <c:pt idx="3">
                  <c:v>42539.060800000014</c:v>
                </c:pt>
                <c:pt idx="4">
                  <c:v>37779</c:v>
                </c:pt>
                <c:pt idx="5">
                  <c:v>12290</c:v>
                </c:pt>
              </c:numCache>
            </c:numRef>
          </c:val>
          <c:extLst/>
        </c:ser>
        <c:ser>
          <c:idx val="1"/>
          <c:order val="1"/>
          <c:tx>
            <c:strRef>
              <c:f>'Frutos secos TOTAL'!$O$5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CB966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380952380952376E-2"/>
                  <c:y val="-4.7846889952153551E-3"/>
                </c:manualLayout>
              </c:layout>
              <c:tx>
                <c:rich>
                  <a:bodyPr/>
                  <a:lstStyle/>
                  <a:p>
                    <a:fld id="{4960A9E1-CA74-427A-BFD5-4B8EDD72380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1CA02C0-D7BD-4D2F-87D9-27B144E6C87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32BBD7B-B376-4DBF-B59C-4ED651C36C6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218D5F8-1CED-4139-9A5E-8A1F5EB3FB7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B733940-B6B6-4A03-854F-05FD91737D7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38AA431B-614B-403A-9DC2-635F5EC6535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'Frutos secos TOTAL'!$M$6:$M$11</c:f>
              <c:strCache>
                <c:ptCount val="6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Algarrobo*</c:v>
                </c:pt>
                <c:pt idx="4">
                  <c:v>Castaño</c:v>
                </c:pt>
                <c:pt idx="5">
                  <c:v>Nogal</c:v>
                </c:pt>
              </c:strCache>
            </c:strRef>
          </c:cat>
          <c:val>
            <c:numRef>
              <c:f>'Frutos secos TOTAL'!$O$6:$O$11</c:f>
              <c:numCache>
                <c:formatCode>#,##0</c:formatCode>
                <c:ptCount val="6"/>
                <c:pt idx="0">
                  <c:v>596525.7799999998</c:v>
                </c:pt>
                <c:pt idx="1">
                  <c:v>48238.960000000006</c:v>
                </c:pt>
                <c:pt idx="2">
                  <c:v>10222.830000000004</c:v>
                </c:pt>
                <c:pt idx="3">
                  <c:v>15087.090000000004</c:v>
                </c:pt>
                <c:pt idx="4">
                  <c:v>9700.739999999998</c:v>
                </c:pt>
                <c:pt idx="5">
                  <c:v>9551.43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'Frutos secos TOTAL'!$P$6:$P$11</c15:f>
                <c15:dlblRangeCache>
                  <c:ptCount val="6"/>
                  <c:pt idx="0">
                    <c:v>83%</c:v>
                  </c:pt>
                  <c:pt idx="1">
                    <c:v>97%</c:v>
                  </c:pt>
                  <c:pt idx="2">
                    <c:v>78%</c:v>
                  </c:pt>
                  <c:pt idx="3">
                    <c:v>35%</c:v>
                  </c:pt>
                  <c:pt idx="4">
                    <c:v>26%</c:v>
                  </c:pt>
                  <c:pt idx="5">
                    <c:v>78%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213936"/>
        <c:axId val="970221552"/>
        <c:axId val="0"/>
      </c:bar3DChart>
      <c:catAx>
        <c:axId val="97021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1552"/>
        <c:crosses val="autoZero"/>
        <c:auto val="1"/>
        <c:lblAlgn val="ctr"/>
        <c:lblOffset val="100"/>
        <c:noMultiLvlLbl val="0"/>
      </c:catAx>
      <c:valAx>
        <c:axId val="97022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1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PISTACHO</a:t>
            </a:r>
            <a:r>
              <a:rPr lang="es-ES" b="0">
                <a:solidFill>
                  <a:schemeClr val="tx1"/>
                </a:solidFill>
              </a:rPr>
              <a:t>:</a:t>
            </a:r>
            <a:r>
              <a:rPr lang="es-ES" b="0" baseline="0">
                <a:solidFill>
                  <a:schemeClr val="tx1"/>
                </a:solidFill>
              </a:rPr>
              <a:t> Distribución de la  pendiente de cultivo en España</a:t>
            </a:r>
            <a:endParaRPr lang="es-ES"/>
          </a:p>
        </c:rich>
      </c:tx>
      <c:layout>
        <c:manualLayout>
          <c:xMode val="edge"/>
          <c:yMode val="edge"/>
          <c:x val="0.19141438960188029"/>
          <c:y val="1.38887623048453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'PIS-PEND'!$A$23:$B$23</c:f>
              <c:strCache>
                <c:ptCount val="2"/>
                <c:pt idx="0">
                  <c:v>PISTACHO: Total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75000"/>
                  </a:schemeClr>
                </a:gs>
                <a:gs pos="50000">
                  <a:schemeClr val="accent4">
                    <a:lumMod val="60000"/>
                    <a:lumOff val="40000"/>
                  </a:schemeClr>
                </a:gs>
                <a:gs pos="100000">
                  <a:schemeClr val="accent4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EA19367-3307-4791-875D-D970913667E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0C6-46DA-86D5-C19989ECB4C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EB66105-CBFF-4A2F-9DBB-A8A48265428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D0D3F9D-427D-4095-8840-5388E3DE07D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8F06D36-1F52-4715-850B-DBB05751F96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'PIS-PEND'!$B$41:$E$41</c:f>
              <c:numCache>
                <c:formatCode>#,##0</c:formatCode>
                <c:ptCount val="4"/>
                <c:pt idx="0">
                  <c:v>27019.280999999999</c:v>
                </c:pt>
                <c:pt idx="1">
                  <c:v>8986.8909999999996</c:v>
                </c:pt>
                <c:pt idx="2">
                  <c:v>1920.5509999999999</c:v>
                </c:pt>
                <c:pt idx="3">
                  <c:v>667.06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0C6-46DA-86D5-C19989ECB4CB}"/>
            </c:ext>
            <c:ext xmlns:c15="http://schemas.microsoft.com/office/drawing/2012/chart" uri="{02D57815-91ED-43cb-92C2-25804820EDAC}">
              <c15:datalabelsRange>
                <c15:f>'PIS-PEND'!$J$41:$M$41</c15:f>
                <c15:dlblRangeCache>
                  <c:ptCount val="4"/>
                  <c:pt idx="0">
                    <c:v>70%</c:v>
                  </c:pt>
                  <c:pt idx="1">
                    <c:v>23%</c:v>
                  </c:pt>
                  <c:pt idx="2">
                    <c:v>5%</c:v>
                  </c:pt>
                  <c:pt idx="3">
                    <c:v>2%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'PIS-PEND'!$A$2:$B$2</c:f>
              <c:strCache>
                <c:ptCount val="2"/>
                <c:pt idx="0">
                  <c:v>PISTACHO: Secano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08A9D82-2F5A-453E-AF36-CFCA89161BA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E07F1FF-0B3A-45BC-AFCF-A4EFBE798BE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5633075-17AE-4A6D-AFEE-2D352747178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4FCF215-EF4E-4FD0-B968-ACE53EF548A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'PIS-PEND'!$B$20:$E$20</c:f>
              <c:numCache>
                <c:formatCode>#,##0</c:formatCode>
                <c:ptCount val="4"/>
                <c:pt idx="0">
                  <c:v>20492.544000000002</c:v>
                </c:pt>
                <c:pt idx="1">
                  <c:v>7109.7510000000002</c:v>
                </c:pt>
                <c:pt idx="2">
                  <c:v>1567.83</c:v>
                </c:pt>
                <c:pt idx="3">
                  <c:v>602.78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'PIS-PEND'!$J$20:$M$20</c15:f>
                <c15:dlblRangeCache>
                  <c:ptCount val="4"/>
                  <c:pt idx="0">
                    <c:v>69%</c:v>
                  </c:pt>
                  <c:pt idx="1">
                    <c:v>24%</c:v>
                  </c:pt>
                  <c:pt idx="2">
                    <c:v>5%</c:v>
                  </c:pt>
                  <c:pt idx="3">
                    <c:v>2%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'PIS-PEND'!$Q$2</c:f>
              <c:strCache>
                <c:ptCount val="1"/>
                <c:pt idx="0">
                  <c:v>PISTACHO: Regadío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BE94043-3A62-4DB1-B3BB-0B931835990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521525C-8A04-49CF-9064-955A946A08C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383B8E5-E8CD-4AF7-ADEF-3287B8EF5AE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8520AFA-CA5D-418E-8BC4-0E1E26F3ED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'PIS-PEND'!$R$20:$U$20</c:f>
              <c:numCache>
                <c:formatCode>#,##0</c:formatCode>
                <c:ptCount val="4"/>
                <c:pt idx="0">
                  <c:v>6526.7370000000001</c:v>
                </c:pt>
                <c:pt idx="1">
                  <c:v>1877.14</c:v>
                </c:pt>
                <c:pt idx="2">
                  <c:v>352.721</c:v>
                </c:pt>
                <c:pt idx="3">
                  <c:v>64.28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'PIS-PEND'!$R$41:$U$41</c15:f>
                <c15:dlblRangeCache>
                  <c:ptCount val="4"/>
                  <c:pt idx="0">
                    <c:v>74%</c:v>
                  </c:pt>
                  <c:pt idx="1">
                    <c:v>21%</c:v>
                  </c:pt>
                  <c:pt idx="2">
                    <c:v>4%</c:v>
                  </c:pt>
                  <c:pt idx="3">
                    <c:v>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86304"/>
        <c:axId val="1085781952"/>
      </c:barChart>
      <c:catAx>
        <c:axId val="1085786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Tramos de pendiente</a:t>
                </a:r>
              </a:p>
            </c:rich>
          </c:tx>
          <c:layout>
            <c:manualLayout>
              <c:xMode val="edge"/>
              <c:yMode val="edge"/>
              <c:x val="0.41490673639613224"/>
              <c:y val="0.891416148432032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1952"/>
        <c:crosses val="autoZero"/>
        <c:auto val="1"/>
        <c:lblAlgn val="ctr"/>
        <c:lblOffset val="100"/>
        <c:noMultiLvlLbl val="0"/>
      </c:catAx>
      <c:valAx>
        <c:axId val="10857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1.6904381762168658E-2"/>
              <c:y val="0.34180215733505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AVELLANO</a:t>
            </a:r>
            <a:r>
              <a:rPr lang="es-ES">
                <a:solidFill>
                  <a:schemeClr val="tx1"/>
                </a:solidFill>
              </a:rPr>
              <a:t>: Distribución de la pendiente de cultivo</a:t>
            </a:r>
            <a:r>
              <a:rPr lang="es-ES" baseline="0">
                <a:solidFill>
                  <a:schemeClr val="tx1"/>
                </a:solidFill>
              </a:rPr>
              <a:t> en España</a:t>
            </a:r>
            <a:r>
              <a:rPr lang="es-ES">
                <a:solidFill>
                  <a:schemeClr val="tx1"/>
                </a:solidFill>
              </a:rPr>
              <a:t> </a:t>
            </a:r>
          </a:p>
        </c:rich>
      </c:tx>
      <c:layout>
        <c:manualLayout>
          <c:xMode val="edge"/>
          <c:yMode val="edge"/>
          <c:x val="0.13462780884441236"/>
          <c:y val="1.701221899280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'AVE-PEND'!$A$23:$B$23</c:f>
              <c:strCache>
                <c:ptCount val="2"/>
                <c:pt idx="0">
                  <c:v>AVELLANO: Total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75000"/>
                  </a:schemeClr>
                </a:gs>
                <a:gs pos="50000">
                  <a:schemeClr val="accent4"/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accent4">
                      <a:lumMod val="75000"/>
                    </a:schemeClr>
                  </a:gs>
                  <a:gs pos="50000">
                    <a:schemeClr val="accent4">
                      <a:lumMod val="60000"/>
                      <a:lumOff val="40000"/>
                    </a:schemeClr>
                  </a:gs>
                  <a:gs pos="100000">
                    <a:schemeClr val="accent4">
                      <a:lumMod val="20000"/>
                      <a:lumOff val="80000"/>
                    </a:schemeClr>
                  </a:gs>
                </a:gsLst>
                <a:lin ang="2700000" scaled="1"/>
              </a:gra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C6B087FB-4F32-4517-AEFA-5D64FCBD9F7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AD1-4002-BCAC-E5ADC8E5AD76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78311D9-65DC-4638-87E5-416864EE9EF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E408C83-BB47-48D7-87B0-5DCBFF828D5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F79972B-B443-4C14-B4EE-628AEAF5262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'AVE-PEND'!$J$24:$M$24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'AVE-PEND'!$B$41:$E$41</c:f>
              <c:numCache>
                <c:formatCode>#,##0</c:formatCode>
                <c:ptCount val="4"/>
                <c:pt idx="0">
                  <c:v>5060.12</c:v>
                </c:pt>
                <c:pt idx="1">
                  <c:v>2397.11</c:v>
                </c:pt>
                <c:pt idx="2">
                  <c:v>1219.82</c:v>
                </c:pt>
                <c:pt idx="3">
                  <c:v>1965.9349999999999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AD1-4002-BCAC-E5ADC8E5AD76}"/>
            </c:ext>
            <c:ext xmlns:c15="http://schemas.microsoft.com/office/drawing/2012/chart" uri="{02D57815-91ED-43cb-92C2-25804820EDAC}">
              <c15:datalabelsRange>
                <c15:f>'ALG-PEND'!$J$41:$M$41</c15:f>
                <c15:dlblRangeCache>
                  <c:ptCount val="4"/>
                  <c:pt idx="0">
                    <c:v>28%</c:v>
                  </c:pt>
                  <c:pt idx="1">
                    <c:v>35%</c:v>
                  </c:pt>
                  <c:pt idx="2">
                    <c:v>18%</c:v>
                  </c:pt>
                  <c:pt idx="3">
                    <c:v>20%</c:v>
                  </c:pt>
                </c15:dlblRangeCache>
              </c15:datalabelsRange>
            </c:ext>
          </c:extLst>
        </c:ser>
        <c:ser>
          <c:idx val="2"/>
          <c:order val="1"/>
          <c:tx>
            <c:strRef>
              <c:f>'AVE-PEND'!$I$2:$J$2</c:f>
              <c:strCache>
                <c:ptCount val="2"/>
                <c:pt idx="0">
                  <c:v>AVELLANO: Secano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2899C7C-17F5-457B-80CA-63CA2ABCFE2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E8C73C7-A46F-4D21-9239-D8DEF5B9C33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33E0742-3F17-46D1-856B-9465BCD0A2B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F952F46-9AA1-45FA-A1CB-C4E8857B165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'AVE-PEND'!$J$24:$M$24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'AVE-PEND'!$B$20:$E$20</c:f>
              <c:numCache>
                <c:formatCode>#,##0</c:formatCode>
                <c:ptCount val="4"/>
                <c:pt idx="0">
                  <c:v>376.3</c:v>
                </c:pt>
                <c:pt idx="1">
                  <c:v>815.15</c:v>
                </c:pt>
                <c:pt idx="2">
                  <c:v>711.63</c:v>
                </c:pt>
                <c:pt idx="3">
                  <c:v>1587.155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'AVE-PEND'!$J$20:$M$20</c15:f>
                <c15:dlblRangeCache>
                  <c:ptCount val="4"/>
                  <c:pt idx="0">
                    <c:v>11%</c:v>
                  </c:pt>
                  <c:pt idx="1">
                    <c:v>23%</c:v>
                  </c:pt>
                  <c:pt idx="2">
                    <c:v>20%</c:v>
                  </c:pt>
                  <c:pt idx="3">
                    <c:v>45%</c:v>
                  </c:pt>
                </c15:dlblRangeCache>
              </c15:datalabelsRange>
            </c:ext>
          </c:extLst>
        </c:ser>
        <c:ser>
          <c:idx val="1"/>
          <c:order val="2"/>
          <c:tx>
            <c:strRef>
              <c:f>'AVE-PEND'!$Q$23</c:f>
              <c:strCache>
                <c:ptCount val="1"/>
                <c:pt idx="0">
                  <c:v>AVELLANO: Regadío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AFB43D5-474B-4E41-BBFD-AD5BCEA01A5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747C918-C5DC-4170-8E1F-867ED85640D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BBF5051A-8038-450E-8DB7-86AFC536E7E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F634209-EDAC-4F77-8ABB-940FDFB9E06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'AVE-PEND'!$J$24:$M$24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'AVE-PEND'!$R$20:$U$20</c:f>
              <c:numCache>
                <c:formatCode>#,##0</c:formatCode>
                <c:ptCount val="4"/>
                <c:pt idx="0">
                  <c:v>4683.82</c:v>
                </c:pt>
                <c:pt idx="1">
                  <c:v>1581.96</c:v>
                </c:pt>
                <c:pt idx="2">
                  <c:v>508.19</c:v>
                </c:pt>
                <c:pt idx="3">
                  <c:v>378.78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'AVE-PEND'!$R$41:$U$41</c15:f>
                <c15:dlblRangeCache>
                  <c:ptCount val="4"/>
                  <c:pt idx="0">
                    <c:v>65%</c:v>
                  </c:pt>
                  <c:pt idx="1">
                    <c:v>22%</c:v>
                  </c:pt>
                  <c:pt idx="2">
                    <c:v>7%</c:v>
                  </c:pt>
                  <c:pt idx="3">
                    <c:v>5%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76512"/>
        <c:axId val="1085779232"/>
      </c:barChart>
      <c:catAx>
        <c:axId val="108577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chemeClr val="tx1"/>
                    </a:solidFill>
                  </a:rPr>
                  <a:t>Tramos de pendiente</a:t>
                </a:r>
              </a:p>
            </c:rich>
          </c:tx>
          <c:layout>
            <c:manualLayout>
              <c:xMode val="edge"/>
              <c:yMode val="edge"/>
              <c:x val="0.40532266385976884"/>
              <c:y val="0.77575484186841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79232"/>
        <c:crosses val="autoZero"/>
        <c:auto val="1"/>
        <c:lblAlgn val="ctr"/>
        <c:lblOffset val="100"/>
        <c:noMultiLvlLbl val="0"/>
      </c:catAx>
      <c:valAx>
        <c:axId val="108577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1.7259975492873381E-2"/>
              <c:y val="0.36080471814470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7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ALGARROBO</a:t>
            </a:r>
            <a:r>
              <a:rPr lang="en-US">
                <a:solidFill>
                  <a:schemeClr val="tx1"/>
                </a:solidFill>
              </a:rPr>
              <a:t>: Distribución</a:t>
            </a:r>
            <a:r>
              <a:rPr lang="en-US" baseline="0">
                <a:solidFill>
                  <a:schemeClr val="tx1"/>
                </a:solidFill>
              </a:rPr>
              <a:t> de la  pendiente de cultivo en España</a:t>
            </a:r>
            <a:endParaRPr lang="en-US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154535255030106"/>
          <c:y val="0.15674587988970889"/>
          <c:w val="0.86126421108502282"/>
          <c:h val="0.57630298508754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'ALG-PEND'!$A$23:$B$23</c:f>
              <c:strCache>
                <c:ptCount val="2"/>
                <c:pt idx="0">
                  <c:v>ALGARROBO: Total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75000"/>
                  </a:schemeClr>
                </a:gs>
                <a:gs pos="50000">
                  <a:schemeClr val="accent4"/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C55B212-4CC4-4BAD-B0EF-A6ED87A166F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436-4251-B767-ABA7FAE6BC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60D95AA-A7B0-4EFC-A66F-CDFAF68D030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D9277C2-4C49-4B43-8047-D70726D39E2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BB618B4-7392-4A9B-997D-A43A7343C74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'ALG-PEND'!$B$41:$E$41</c:f>
              <c:numCache>
                <c:formatCode>#,##0</c:formatCode>
                <c:ptCount val="4"/>
                <c:pt idx="0">
                  <c:v>3743.2770833333302</c:v>
                </c:pt>
                <c:pt idx="1">
                  <c:v>4628.8191666666698</c:v>
                </c:pt>
                <c:pt idx="2">
                  <c:v>2343.0050000000001</c:v>
                </c:pt>
                <c:pt idx="3">
                  <c:v>2667.3760000000002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436-4251-B767-ABA7FAE6BC37}"/>
            </c:ext>
            <c:ext xmlns:c15="http://schemas.microsoft.com/office/drawing/2012/chart" uri="{02D57815-91ED-43cb-92C2-25804820EDAC}">
              <c15:datalabelsRange>
                <c15:f>'ALG-PEND'!$J$41:$M$41</c15:f>
                <c15:dlblRangeCache>
                  <c:ptCount val="4"/>
                  <c:pt idx="0">
                    <c:v>28%</c:v>
                  </c:pt>
                  <c:pt idx="1">
                    <c:v>35%</c:v>
                  </c:pt>
                  <c:pt idx="2">
                    <c:v>18%</c:v>
                  </c:pt>
                  <c:pt idx="3">
                    <c:v>20%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'ALG-PEND'!$A$2:$B$2</c:f>
              <c:strCache>
                <c:ptCount val="2"/>
                <c:pt idx="0">
                  <c:v>ALGARROBO: Secano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0B55B37-3EEE-46C6-A7D5-3F24DB37315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4845D97-9065-42AB-B3E2-139B3CB8AE1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053D940-AC8D-406B-B97A-BD661E0F595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9A2F1E9-C447-4D8C-863E-194BFE44EEB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'ALG-PEND'!$B$20:$E$20</c:f>
              <c:numCache>
                <c:formatCode>#,##0</c:formatCode>
                <c:ptCount val="4"/>
                <c:pt idx="0">
                  <c:v>3312.72708333333</c:v>
                </c:pt>
                <c:pt idx="1">
                  <c:v>4487.7524999999996</c:v>
                </c:pt>
                <c:pt idx="2">
                  <c:v>2302.35</c:v>
                </c:pt>
                <c:pt idx="3">
                  <c:v>2599.4526666666702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'ALG-PEND'!$J$20:$M$20</c15:f>
                <c15:dlblRangeCache>
                  <c:ptCount val="4"/>
                  <c:pt idx="0">
                    <c:v>26%</c:v>
                  </c:pt>
                  <c:pt idx="1">
                    <c:v>35%</c:v>
                  </c:pt>
                  <c:pt idx="2">
                    <c:v>18%</c:v>
                  </c:pt>
                  <c:pt idx="3">
                    <c:v>20%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'ALG-PEND'!$Q$2</c:f>
              <c:strCache>
                <c:ptCount val="1"/>
                <c:pt idx="0">
                  <c:v>ALGARROBO: Regadío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9B5600F-3D12-41AC-A2BF-3E546BD4522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0CA181F-1C88-4FF8-A19C-5796025C506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61C58BE-A37F-4741-89BE-ADBA4F2FB62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C37AF40-23F7-4C34-92B8-DD70E7CC38D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'ALG-PEND'!$R$20:$U$20</c:f>
              <c:numCache>
                <c:formatCode>#,##0</c:formatCode>
                <c:ptCount val="4"/>
                <c:pt idx="0">
                  <c:v>430.55</c:v>
                </c:pt>
                <c:pt idx="1">
                  <c:v>141.066666666667</c:v>
                </c:pt>
                <c:pt idx="2">
                  <c:v>40.655000000000001</c:v>
                </c:pt>
                <c:pt idx="3">
                  <c:v>67.923333333333304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'ALG-PEND'!$R$41:$U$41</c15:f>
                <c15:dlblRangeCache>
                  <c:ptCount val="4"/>
                  <c:pt idx="0">
                    <c:v>63%</c:v>
                  </c:pt>
                  <c:pt idx="1">
                    <c:v>21%</c:v>
                  </c:pt>
                  <c:pt idx="2">
                    <c:v>6%</c:v>
                  </c:pt>
                  <c:pt idx="3">
                    <c:v>10%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75968"/>
        <c:axId val="1085786848"/>
      </c:barChart>
      <c:catAx>
        <c:axId val="1085775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>
                    <a:solidFill>
                      <a:schemeClr val="tx1"/>
                    </a:solidFill>
                  </a:rPr>
                  <a:t>Tramos de pendiente</a:t>
                </a:r>
              </a:p>
            </c:rich>
          </c:tx>
          <c:layout>
            <c:manualLayout>
              <c:xMode val="edge"/>
              <c:yMode val="edge"/>
              <c:x val="0.42086248953726763"/>
              <c:y val="0.796658589389239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6848"/>
        <c:crosses val="autoZero"/>
        <c:auto val="1"/>
        <c:lblAlgn val="ctr"/>
        <c:lblOffset val="100"/>
        <c:noMultiLvlLbl val="0"/>
      </c:catAx>
      <c:valAx>
        <c:axId val="108578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CASTAÑO</a:t>
            </a:r>
            <a:r>
              <a:rPr lang="en-US">
                <a:solidFill>
                  <a:schemeClr val="tx1"/>
                </a:solidFill>
              </a:rPr>
              <a:t>: Distribución de la pendiente de cultivo en España</a:t>
            </a:r>
            <a:endParaRPr lang="en-US" baseline="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5404011059552444"/>
          <c:y val="2.09973718565115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'CAS-PEND'!$A$23:$B$23</c:f>
              <c:strCache>
                <c:ptCount val="2"/>
                <c:pt idx="0">
                  <c:v>CASTAÑO: Total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75000"/>
                  </a:schemeClr>
                </a:gs>
                <a:gs pos="50000">
                  <a:schemeClr val="accent4">
                    <a:lumMod val="60000"/>
                    <a:lumOff val="40000"/>
                  </a:schemeClr>
                </a:gs>
                <a:gs pos="100000">
                  <a:schemeClr val="accent4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9EE3AAE-AE9A-4EC0-A0F0-BCCE553BB29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5FB-4B5A-A253-604A9BE323E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8B97977-FD84-49AF-AB37-AB191FE7664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C9ED9E7-6E4A-4BC7-A5D0-B34786A78FC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4866BBF-3B26-49E6-8E0F-B292B87059B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'CAS-PEND'!$B$41:$E$41</c:f>
              <c:numCache>
                <c:formatCode>#,##0</c:formatCode>
                <c:ptCount val="4"/>
                <c:pt idx="0">
                  <c:v>181.05</c:v>
                </c:pt>
                <c:pt idx="1">
                  <c:v>593.28</c:v>
                </c:pt>
                <c:pt idx="2">
                  <c:v>862.96</c:v>
                </c:pt>
                <c:pt idx="3">
                  <c:v>7671.0599999999904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FB-4B5A-A253-604A9BE323E7}"/>
            </c:ext>
            <c:ext xmlns:c15="http://schemas.microsoft.com/office/drawing/2012/chart" uri="{02D57815-91ED-43cb-92C2-25804820EDAC}">
              <c15:datalabelsRange>
                <c15:f>'CAS-PEND'!$J$41:$M$41</c15:f>
                <c15:dlblRangeCache>
                  <c:ptCount val="4"/>
                  <c:pt idx="0">
                    <c:v>2%</c:v>
                  </c:pt>
                  <c:pt idx="1">
                    <c:v>6%</c:v>
                  </c:pt>
                  <c:pt idx="2">
                    <c:v>9%</c:v>
                  </c:pt>
                  <c:pt idx="3">
                    <c:v>82%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'CAS-PEND'!$A$2:$B$2</c:f>
              <c:strCache>
                <c:ptCount val="2"/>
                <c:pt idx="0">
                  <c:v>CASTAÑO: Secano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CA0445A-0A0C-4DD3-9EAB-43FD1847523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50402BE-3357-466F-901E-F156678EA21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13AD911-FA85-4538-8519-AB4CB8371FF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ADB706D-2EF8-40D5-BD9D-A0B4D155484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'CAS-PEND'!$B$20:$E$20</c:f>
              <c:numCache>
                <c:formatCode>#,##0</c:formatCode>
                <c:ptCount val="4"/>
                <c:pt idx="0">
                  <c:v>172.77</c:v>
                </c:pt>
                <c:pt idx="1">
                  <c:v>577.41999999999996</c:v>
                </c:pt>
                <c:pt idx="2">
                  <c:v>834.96</c:v>
                </c:pt>
                <c:pt idx="3">
                  <c:v>7595.9799999999896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'CAS-PEND'!$J$20:$M$20</c15:f>
                <c15:dlblRangeCache>
                  <c:ptCount val="4"/>
                  <c:pt idx="0">
                    <c:v>2%</c:v>
                  </c:pt>
                  <c:pt idx="1">
                    <c:v>6%</c:v>
                  </c:pt>
                  <c:pt idx="2">
                    <c:v>9%</c:v>
                  </c:pt>
                  <c:pt idx="3">
                    <c:v>83%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'CAS-PEND'!$Q$2:$R$2</c:f>
              <c:strCache>
                <c:ptCount val="2"/>
                <c:pt idx="0">
                  <c:v>CASTAÑO: Regadío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0360417-34F7-492E-B69C-C5B90DA1C5B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DFA1836-D9C7-4B80-810F-D6C35471A87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63F6D23-5DEC-4230-9C13-A1A721F2B7F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CCBEC40-9397-4FCD-999B-8AF199FB944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'CAS-PEND'!$B$24:$E$24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'CAS-PEND'!$R$20:$U$20</c:f>
              <c:numCache>
                <c:formatCode>#,##0</c:formatCode>
                <c:ptCount val="4"/>
                <c:pt idx="0">
                  <c:v>8.2799999999999994</c:v>
                </c:pt>
                <c:pt idx="1">
                  <c:v>15.86</c:v>
                </c:pt>
                <c:pt idx="2">
                  <c:v>28</c:v>
                </c:pt>
                <c:pt idx="3">
                  <c:v>75.08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'CAS-PEND'!$R$41:$U$41</c15:f>
                <c15:dlblRangeCache>
                  <c:ptCount val="4"/>
                  <c:pt idx="0">
                    <c:v>7%</c:v>
                  </c:pt>
                  <c:pt idx="1">
                    <c:v>12%</c:v>
                  </c:pt>
                  <c:pt idx="2">
                    <c:v>22%</c:v>
                  </c:pt>
                  <c:pt idx="3">
                    <c:v>59%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80864"/>
        <c:axId val="1085787936"/>
      </c:barChart>
      <c:catAx>
        <c:axId val="1085780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chemeClr val="tx1"/>
                    </a:solidFill>
                  </a:rPr>
                  <a:t>Tramos de pendiente</a:t>
                </a:r>
              </a:p>
            </c:rich>
          </c:tx>
          <c:layout>
            <c:manualLayout>
              <c:xMode val="edge"/>
              <c:yMode val="edge"/>
              <c:x val="0.3978676622016572"/>
              <c:y val="0.77857990310126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7936"/>
        <c:crosses val="autoZero"/>
        <c:auto val="1"/>
        <c:lblAlgn val="ctr"/>
        <c:lblOffset val="100"/>
        <c:noMultiLvlLbl val="0"/>
      </c:catAx>
      <c:valAx>
        <c:axId val="108578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NOGAL:</a:t>
            </a:r>
            <a:r>
              <a:rPr lang="en-US" b="1" baseline="0">
                <a:solidFill>
                  <a:schemeClr val="tx1"/>
                </a:solidFill>
              </a:rPr>
              <a:t> </a:t>
            </a:r>
            <a:r>
              <a:rPr lang="en-US" baseline="0">
                <a:solidFill>
                  <a:schemeClr val="tx1"/>
                </a:solidFill>
              </a:rPr>
              <a:t>Distribución de la pendiente de cultivo en España</a:t>
            </a:r>
            <a:endParaRPr lang="en-U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5285464098073556"/>
          <c:y val="1.3722124458588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08213246549086"/>
          <c:y val="0.16965119872301407"/>
          <c:w val="0.84690210571314295"/>
          <c:h val="0.640907489830861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'NOG-PEND'!$A$23:$B$23</c:f>
              <c:strCache>
                <c:ptCount val="2"/>
                <c:pt idx="0">
                  <c:v>NOGAL: Total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75000"/>
                  </a:schemeClr>
                </a:gs>
                <a:gs pos="50000">
                  <a:schemeClr val="accent4">
                    <a:lumMod val="60000"/>
                    <a:lumOff val="40000"/>
                  </a:schemeClr>
                </a:gs>
                <a:gs pos="100000">
                  <a:schemeClr val="accent4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C643B17-1C62-49BE-A7F1-C45927F39C3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34F6796-AFFD-41E3-ABD8-5565D5FF0D0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3F3C8E1-6138-4F5C-9348-939F32C33C6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94339F7-7CA2-45A6-A1A1-361443E5B26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'NOG-PEND'!$J$24:$M$24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'NOG-PEND'!$B$41:$E$41</c:f>
              <c:numCache>
                <c:formatCode>#,##0</c:formatCode>
                <c:ptCount val="4"/>
                <c:pt idx="0">
                  <c:v>5718.9989999999998</c:v>
                </c:pt>
                <c:pt idx="1">
                  <c:v>2102.9969999999998</c:v>
                </c:pt>
                <c:pt idx="2">
                  <c:v>637.12699999999995</c:v>
                </c:pt>
                <c:pt idx="3">
                  <c:v>586.72149999999999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903-49AA-BAFB-38DEADF9F63A}"/>
            </c:ext>
            <c:ext xmlns:c15="http://schemas.microsoft.com/office/drawing/2012/chart" uri="{02D57815-91ED-43cb-92C2-25804820EDAC}">
              <c15:datalabelsRange>
                <c15:f>'NOG-PEND'!$J$41:$M$41</c15:f>
                <c15:dlblRangeCache>
                  <c:ptCount val="4"/>
                  <c:pt idx="0">
                    <c:v>63%</c:v>
                  </c:pt>
                  <c:pt idx="1">
                    <c:v>23%</c:v>
                  </c:pt>
                  <c:pt idx="2">
                    <c:v>7%</c:v>
                  </c:pt>
                  <c:pt idx="3">
                    <c:v>6%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'NOG-PEND'!$A$2:$B$2</c:f>
              <c:strCache>
                <c:ptCount val="2"/>
                <c:pt idx="0">
                  <c:v>NOGAL: Secano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0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D4F74A9E-B202-40E4-8B65-F6B1FCE8AAE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9DE1586-DD08-4045-B62E-051864EB9A9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629E991-F327-4C67-B1DA-22B61BBCA5C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C6621F4-3AA2-471D-B163-60AC6C7A41E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'NOG-PEND'!$J$24:$M$24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'NOG-PEND'!$B$20:$E$20</c:f>
              <c:numCache>
                <c:formatCode>#,##0</c:formatCode>
                <c:ptCount val="4"/>
                <c:pt idx="0">
                  <c:v>907.803</c:v>
                </c:pt>
                <c:pt idx="1">
                  <c:v>953.39</c:v>
                </c:pt>
                <c:pt idx="2">
                  <c:v>390.77300000000002</c:v>
                </c:pt>
                <c:pt idx="3">
                  <c:v>484.50150000000002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'NOG-PEND'!$J$20:$M$20</c15:f>
                <c15:dlblRangeCache>
                  <c:ptCount val="4"/>
                  <c:pt idx="0">
                    <c:v>33%</c:v>
                  </c:pt>
                  <c:pt idx="1">
                    <c:v>35%</c:v>
                  </c:pt>
                  <c:pt idx="2">
                    <c:v>14%</c:v>
                  </c:pt>
                  <c:pt idx="3">
                    <c:v>18%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'NOG-PEND'!$Q$2:$R$2</c:f>
              <c:strCache>
                <c:ptCount val="2"/>
                <c:pt idx="0">
                  <c:v>NOGAL: Regadío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accent1">
                    <a:lumMod val="20000"/>
                    <a:lumOff val="80000"/>
                  </a:schemeClr>
                </a:gs>
              </a:gsLst>
              <a:lin ang="2700000" scaled="1"/>
            </a:gra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DB4F004C-862E-444E-A600-E12A02485AA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BB2041D-E96C-47B3-9E63-6792AC20956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75595AE-96F9-4C3F-AAF9-3CD8ED444DD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44D2A52-F5B6-42BA-A20C-60712D33D97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'NOG-PEND'!$J$24:$M$24</c:f>
              <c:strCache>
                <c:ptCount val="4"/>
                <c:pt idx="0">
                  <c:v>0-5%</c:v>
                </c:pt>
                <c:pt idx="1">
                  <c:v>5-10%</c:v>
                </c:pt>
                <c:pt idx="2">
                  <c:v>10-15%</c:v>
                </c:pt>
                <c:pt idx="3">
                  <c:v>&gt;=15%</c:v>
                </c:pt>
              </c:strCache>
            </c:strRef>
          </c:cat>
          <c:val>
            <c:numRef>
              <c:f>'NOG-PEND'!$R$20:$U$20</c:f>
              <c:numCache>
                <c:formatCode>#,##0</c:formatCode>
                <c:ptCount val="4"/>
                <c:pt idx="0">
                  <c:v>4811.1959999999999</c:v>
                </c:pt>
                <c:pt idx="1">
                  <c:v>1149.607</c:v>
                </c:pt>
                <c:pt idx="2">
                  <c:v>246.35400000000001</c:v>
                </c:pt>
                <c:pt idx="3">
                  <c:v>102.22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'NOG-PEND'!$R$41:$U$41</c15:f>
                <c15:dlblRangeCache>
                  <c:ptCount val="4"/>
                  <c:pt idx="0">
                    <c:v>76%</c:v>
                  </c:pt>
                  <c:pt idx="1">
                    <c:v>18%</c:v>
                  </c:pt>
                  <c:pt idx="2">
                    <c:v>4%</c:v>
                  </c:pt>
                  <c:pt idx="3">
                    <c:v>2%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90656"/>
        <c:axId val="1085788480"/>
      </c:barChart>
      <c:catAx>
        <c:axId val="1085790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chemeClr val="tx1"/>
                    </a:solidFill>
                  </a:rPr>
                  <a:t>Tramos de pendiente</a:t>
                </a:r>
              </a:p>
            </c:rich>
          </c:tx>
          <c:layout>
            <c:manualLayout>
              <c:xMode val="edge"/>
              <c:yMode val="edge"/>
              <c:x val="0.39519450611580731"/>
              <c:y val="0.920274456895601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8480"/>
        <c:crosses val="autoZero"/>
        <c:auto val="1"/>
        <c:lblAlgn val="ctr"/>
        <c:lblOffset val="100"/>
        <c:noMultiLvlLbl val="0"/>
      </c:catAx>
      <c:valAx>
        <c:axId val="108578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9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Almendro</a:t>
            </a:r>
            <a:r>
              <a:rPr lang="es-ES">
                <a:solidFill>
                  <a:schemeClr val="tx1"/>
                </a:solidFill>
              </a:rPr>
              <a:t>: Superficie vs NºExplotaciones (España)</a:t>
            </a:r>
          </a:p>
        </c:rich>
      </c:tx>
      <c:layout>
        <c:manualLayout>
          <c:xMode val="edge"/>
          <c:yMode val="edge"/>
          <c:x val="0.1724424393980355"/>
          <c:y val="4.32917052521608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56036745406818E-2"/>
          <c:y val="0.16744834909255726"/>
          <c:w val="0.88797243330398024"/>
          <c:h val="0.62385266444680543"/>
        </c:manualLayout>
      </c:layout>
      <c:barChart>
        <c:barDir val="col"/>
        <c:grouping val="clustered"/>
        <c:varyColors val="0"/>
        <c:ser>
          <c:idx val="0"/>
          <c:order val="0"/>
          <c:tx>
            <c:v>Superficie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3AEF84-1CE4-4A01-87AD-293A7AECEF0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C918E0-08A7-459B-A9FB-BFF7C8B3656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E144345-8BB1-4EB7-B837-5350BB6D3EB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A828617-0415-4137-85F2-89634E78BE2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26CFDE0-A09B-41E1-A7DF-AE7B432975D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'ALM-EXPL'!$AC$4:$AG$4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'ALM-EXPL'!$AC$21:$AG$21</c:f>
              <c:numCache>
                <c:formatCode>0%</c:formatCode>
                <c:ptCount val="5"/>
                <c:pt idx="0">
                  <c:v>0.18430744195853618</c:v>
                </c:pt>
                <c:pt idx="1">
                  <c:v>0.16411630257119342</c:v>
                </c:pt>
                <c:pt idx="2">
                  <c:v>0.36941225810194378</c:v>
                </c:pt>
                <c:pt idx="3">
                  <c:v>0.17517066698216099</c:v>
                </c:pt>
                <c:pt idx="4">
                  <c:v>0.10699333038616558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F8-491E-A988-874CAEE2FCD2}"/>
            </c:ext>
            <c:ext xmlns:c15="http://schemas.microsoft.com/office/drawing/2012/chart" uri="{02D57815-91ED-43cb-92C2-25804820EDAC}">
              <c15:datalabelsRange>
                <c15:f>'ALM-EXPL'!$B$21:$Z$21</c15:f>
                <c15:dlblRangeCache>
                  <c:ptCount val="5"/>
                  <c:pt idx="0">
                    <c:v>103.060</c:v>
                  </c:pt>
                  <c:pt idx="1">
                    <c:v>91.770</c:v>
                  </c:pt>
                  <c:pt idx="2">
                    <c:v>206.566</c:v>
                  </c:pt>
                  <c:pt idx="3">
                    <c:v>97.951</c:v>
                  </c:pt>
                  <c:pt idx="4">
                    <c:v>59.828</c:v>
                  </c:pt>
                </c15:dlblRangeCache>
              </c15:datalabelsRange>
            </c:ext>
          </c:extLst>
        </c:ser>
        <c:ser>
          <c:idx val="1"/>
          <c:order val="1"/>
          <c:tx>
            <c:v>Nº Explotaciones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29116D9-9EDA-4AAB-A88F-1B8D4B856ED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BBB041C-5C82-4A99-92D5-526395C34A8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577B5CA-4690-4172-9D0A-6AA6770B66D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1FDAC8A-5B01-4F30-B89C-0B3E303E617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54F89F1-0021-46B6-9C7D-F671A2080ED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'ALM-EXPL'!$AC$4:$AG$4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'ALM-EXPL'!$AC$42:$AG$42</c:f>
              <c:numCache>
                <c:formatCode>0%</c:formatCode>
                <c:ptCount val="5"/>
                <c:pt idx="0">
                  <c:v>0.69340105062526147</c:v>
                </c:pt>
                <c:pt idx="1">
                  <c:v>0.15145739389149737</c:v>
                </c:pt>
                <c:pt idx="2">
                  <c:v>0.13183952396448329</c:v>
                </c:pt>
                <c:pt idx="3">
                  <c:v>1.9431918553298313E-2</c:v>
                </c:pt>
                <c:pt idx="4">
                  <c:v>3.8701129654595324E-3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F8-491E-A988-874CAEE2FCD2}"/>
            </c:ext>
            <c:ext xmlns:c15="http://schemas.microsoft.com/office/drawing/2012/chart" uri="{02D57815-91ED-43cb-92C2-25804820EDAC}">
              <c15:datalabelsRange>
                <c15:f>'ALM-EXPL'!$B$42:$Z$42</c15:f>
                <c15:dlblRangeCache>
                  <c:ptCount val="5"/>
                  <c:pt idx="0">
                    <c:v>59.663</c:v>
                  </c:pt>
                  <c:pt idx="1">
                    <c:v>13.032</c:v>
                  </c:pt>
                  <c:pt idx="2">
                    <c:v>11.344</c:v>
                  </c:pt>
                  <c:pt idx="3">
                    <c:v>1.672</c:v>
                  </c:pt>
                  <c:pt idx="4">
                    <c:v>333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791200"/>
        <c:axId val="1085789024"/>
      </c:barChart>
      <c:catAx>
        <c:axId val="108579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41692177698926824"/>
              <c:y val="0.873087384696974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89024"/>
        <c:crosses val="autoZero"/>
        <c:auto val="1"/>
        <c:lblAlgn val="ctr"/>
        <c:lblOffset val="100"/>
        <c:noMultiLvlLbl val="0"/>
      </c:catAx>
      <c:valAx>
        <c:axId val="10857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579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462858036091588"/>
          <c:y val="0.93293310803746698"/>
          <c:w val="0.40559959649406635"/>
          <c:h val="6.70668919625329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Pistacho: </a:t>
            </a:r>
            <a:r>
              <a:rPr lang="es-ES">
                <a:solidFill>
                  <a:schemeClr val="tx1"/>
                </a:solidFill>
              </a:rPr>
              <a:t>Superficie vs NºExplotaciones</a:t>
            </a:r>
            <a:r>
              <a:rPr lang="es-ES" baseline="0">
                <a:solidFill>
                  <a:schemeClr val="tx1"/>
                </a:solidFill>
              </a:rPr>
              <a:t> (España)</a:t>
            </a:r>
            <a:endParaRPr lang="es-E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06593040714149E-2"/>
          <c:y val="0.14313548709786322"/>
          <c:w val="0.89989927735164355"/>
          <c:h val="0.65357142097469711"/>
        </c:manualLayout>
      </c:layout>
      <c:barChart>
        <c:barDir val="col"/>
        <c:grouping val="clustered"/>
        <c:varyColors val="0"/>
        <c:ser>
          <c:idx val="0"/>
          <c:order val="0"/>
          <c:tx>
            <c:v>Superficie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DC776F-B941-4D93-BD3E-4063D4BA979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4D120D4-CFB3-4A96-98C1-A064BBC5ECD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CE01CB7-3B2E-4D8E-A308-1B926BDCFAB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E7FF8FE-7515-40CC-89F7-79CD7216048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828C761-E2D1-43EA-909A-680A252A351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'PIS-EXPL'!$AC$21:$AG$21</c:f>
              <c:numCache>
                <c:formatCode>0%</c:formatCode>
                <c:ptCount val="5"/>
                <c:pt idx="0">
                  <c:v>0.1768356194197411</c:v>
                </c:pt>
                <c:pt idx="1">
                  <c:v>0.17838775306542323</c:v>
                </c:pt>
                <c:pt idx="2">
                  <c:v>0.40176787884971032</c:v>
                </c:pt>
                <c:pt idx="3">
                  <c:v>0.18041704989555279</c:v>
                </c:pt>
                <c:pt idx="4">
                  <c:v>6.259169876957274E-2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C2-4222-85A3-77BF6D5C8363}"/>
            </c:ext>
            <c:ext xmlns:c15="http://schemas.microsoft.com/office/drawing/2012/chart" uri="{02D57815-91ED-43cb-92C2-25804820EDAC}">
              <c15:datalabelsRange>
                <c15:f>'PIS-EXPL'!$B$21:$Z$21</c15:f>
                <c15:dlblRangeCache>
                  <c:ptCount val="5"/>
                  <c:pt idx="0">
                    <c:v>6.828</c:v>
                  </c:pt>
                  <c:pt idx="1">
                    <c:v>6.887</c:v>
                  </c:pt>
                  <c:pt idx="2">
                    <c:v>15.512</c:v>
                  </c:pt>
                  <c:pt idx="3">
                    <c:v>6.966</c:v>
                  </c:pt>
                  <c:pt idx="4">
                    <c:v>2.417</c:v>
                  </c:pt>
                </c15:dlblRangeCache>
              </c15:datalabelsRange>
            </c:ext>
          </c:extLst>
        </c:ser>
        <c:ser>
          <c:idx val="1"/>
          <c:order val="1"/>
          <c:tx>
            <c:v>Nº Explotaciones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A4AD656-58DE-42CC-A768-E0856256CF2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566BA96-A637-4A6C-AFA3-26ADBD18BC1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EF6600-8346-4BB8-B001-4363FBCE95B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A79059-7783-4E88-8149-BE197C08C94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FE27051-2E13-44AD-BEC7-3A6C23374D8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'PIS-EXPL'!$AC$42:$AG$42</c:f>
              <c:numCache>
                <c:formatCode>0%</c:formatCode>
                <c:ptCount val="5"/>
                <c:pt idx="0">
                  <c:v>0.63478260869565217</c:v>
                </c:pt>
                <c:pt idx="1">
                  <c:v>0.18223866790009249</c:v>
                </c:pt>
                <c:pt idx="2">
                  <c:v>0.157631822386679</c:v>
                </c:pt>
                <c:pt idx="3">
                  <c:v>2.2201665124884366E-2</c:v>
                </c:pt>
                <c:pt idx="4">
                  <c:v>3.1452358926919517E-3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C2-4222-85A3-77BF6D5C8363}"/>
            </c:ext>
            <c:ext xmlns:c15="http://schemas.microsoft.com/office/drawing/2012/chart" uri="{02D57815-91ED-43cb-92C2-25804820EDAC}">
              <c15:datalabelsRange>
                <c15:f>'PIS-EXPL'!$B$42:$Z$42</c15:f>
                <c15:dlblRangeCache>
                  <c:ptCount val="5"/>
                  <c:pt idx="0">
                    <c:v>3.431</c:v>
                  </c:pt>
                  <c:pt idx="1">
                    <c:v>985</c:v>
                  </c:pt>
                  <c:pt idx="2">
                    <c:v>852</c:v>
                  </c:pt>
                  <c:pt idx="3">
                    <c:v>120</c:v>
                  </c:pt>
                  <c:pt idx="4">
                    <c:v>17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8851792"/>
        <c:axId val="1088855600"/>
      </c:barChart>
      <c:catAx>
        <c:axId val="1088851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81268538078624586"/>
              <c:y val="0.931725135670027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5600"/>
        <c:crosses val="autoZero"/>
        <c:auto val="1"/>
        <c:lblAlgn val="ctr"/>
        <c:lblOffset val="100"/>
        <c:noMultiLvlLbl val="0"/>
      </c:catAx>
      <c:valAx>
        <c:axId val="108885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739166223589814"/>
          <c:y val="0.92786599608798714"/>
          <c:w val="0.40038137923590517"/>
          <c:h val="7.21340039120128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Avellano</a:t>
            </a:r>
            <a:r>
              <a:rPr lang="en-US">
                <a:solidFill>
                  <a:schemeClr val="tx1"/>
                </a:solidFill>
              </a:rPr>
              <a:t>: Superficie vs NºExplotaciones (España)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884521708681917E-2"/>
          <c:y val="0.13871900715707064"/>
          <c:w val="0.89393744719140467"/>
          <c:h val="0.67026321516593368"/>
        </c:manualLayout>
      </c:layout>
      <c:barChart>
        <c:barDir val="col"/>
        <c:grouping val="clustered"/>
        <c:varyColors val="0"/>
        <c:ser>
          <c:idx val="0"/>
          <c:order val="0"/>
          <c:tx>
            <c:v>Superficie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91530FE-7F01-4D9A-8B90-F1F0B2A45ED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7D43AE-6AD2-4946-B3CB-0249BA75A47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6D662F9-D9A6-42F9-86B0-0B869F466E9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B1D92D2-D423-425A-8C4D-8318CD061EC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'AVE-EXPL'!$AC$21:$AG$21</c:f>
              <c:numCache>
                <c:formatCode>0%</c:formatCode>
                <c:ptCount val="5"/>
                <c:pt idx="0">
                  <c:v>0.47482308769579307</c:v>
                </c:pt>
                <c:pt idx="1">
                  <c:v>0.24963861172406002</c:v>
                </c:pt>
                <c:pt idx="2">
                  <c:v>0.24186917486024789</c:v>
                </c:pt>
                <c:pt idx="3">
                  <c:v>3.366912571989901E-2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AC-4060-8D0B-3D7AD7E2B10E}"/>
            </c:ext>
            <c:ext xmlns:c15="http://schemas.microsoft.com/office/drawing/2012/chart" uri="{02D57815-91ED-43cb-92C2-25804820EDAC}">
              <c15:datalabelsRange>
                <c15:f>'AVE-EXPL'!$B$21:$W$21</c15:f>
                <c15:dlblRangeCache>
                  <c:ptCount val="4"/>
                  <c:pt idx="0">
                    <c:v>5.054</c:v>
                  </c:pt>
                  <c:pt idx="1">
                    <c:v>2.657</c:v>
                  </c:pt>
                  <c:pt idx="2">
                    <c:v>2.574</c:v>
                  </c:pt>
                  <c:pt idx="3">
                    <c:v>358</c:v>
                  </c:pt>
                </c15:dlblRangeCache>
              </c15:datalabelsRange>
            </c:ext>
          </c:extLst>
        </c:ser>
        <c:ser>
          <c:idx val="1"/>
          <c:order val="1"/>
          <c:tx>
            <c:v>Nº Explotaciones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161093B-140E-4B5E-AAC5-806E9D68131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A6991E6-5B92-4C92-97C0-EE92F856595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4C33FC9-E6BE-46F2-ACD3-3BEED55E6AB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9C6753A-C585-419D-8A64-1FD1D05FD58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49B55F4-FD69-49CE-9AA5-0EBB5F7FD6B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'AVE-EXPL'!$AC$42:$AG$42</c:f>
              <c:numCache>
                <c:formatCode>0%</c:formatCode>
                <c:ptCount val="5"/>
                <c:pt idx="0">
                  <c:v>0.84918918918918918</c:v>
                </c:pt>
                <c:pt idx="1">
                  <c:v>0.10351351351351351</c:v>
                </c:pt>
                <c:pt idx="2">
                  <c:v>4.5675675675675674E-2</c:v>
                </c:pt>
                <c:pt idx="3">
                  <c:v>1.6216216216216215E-3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AC-4060-8D0B-3D7AD7E2B10E}"/>
            </c:ext>
            <c:ext xmlns:c15="http://schemas.microsoft.com/office/drawing/2012/chart" uri="{02D57815-91ED-43cb-92C2-25804820EDAC}">
              <c15:datalabelsRange>
                <c15:f>'AVE-EXPL'!$B$42:$Z$42</c15:f>
                <c15:dlblRangeCache>
                  <c:ptCount val="5"/>
                  <c:pt idx="0">
                    <c:v>3.142</c:v>
                  </c:pt>
                  <c:pt idx="1">
                    <c:v>383</c:v>
                  </c:pt>
                  <c:pt idx="2">
                    <c:v>169</c:v>
                  </c:pt>
                  <c:pt idx="3">
                    <c:v>6</c:v>
                  </c:pt>
                  <c:pt idx="4">
                    <c:v>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8850704"/>
        <c:axId val="1088859408"/>
      </c:barChart>
      <c:catAx>
        <c:axId val="1088850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83387003372287061"/>
              <c:y val="0.940626027965672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9408"/>
        <c:crosses val="autoZero"/>
        <c:auto val="1"/>
        <c:lblAlgn val="ctr"/>
        <c:lblOffset val="100"/>
        <c:noMultiLvlLbl val="0"/>
      </c:catAx>
      <c:valAx>
        <c:axId val="108885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04025585732918"/>
          <c:y val="0.93688596306523941"/>
          <c:w val="0.51478257431829633"/>
          <c:h val="6.31140369347606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Algarrobo: </a:t>
            </a:r>
            <a:r>
              <a:rPr lang="en-US">
                <a:solidFill>
                  <a:schemeClr val="tx1"/>
                </a:solidFill>
              </a:rPr>
              <a:t>Superficie vs NºExplotaciones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564266757307E-2"/>
          <c:y val="0.13794512159587058"/>
          <c:w val="0.88686740433771216"/>
          <c:h val="0.66466435100109433"/>
        </c:manualLayout>
      </c:layout>
      <c:barChart>
        <c:barDir val="col"/>
        <c:grouping val="clustered"/>
        <c:varyColors val="0"/>
        <c:ser>
          <c:idx val="0"/>
          <c:order val="0"/>
          <c:tx>
            <c:v>Superficie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45C2614-A4E8-4282-A00A-1ADC9E5E7B3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2DBEC81-434D-4BBB-91FE-1686286E40D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972EC9F-485C-459E-8E23-4AB458D5F20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08A4114-923B-43CE-9117-DE03282D066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3485788-963C-4C8F-B418-19802C8F3F0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'ALG-EXPL'!$AC$21:$AG$21</c:f>
              <c:numCache>
                <c:formatCode>0%</c:formatCode>
                <c:ptCount val="5"/>
                <c:pt idx="0">
                  <c:v>0.56476667743923159</c:v>
                </c:pt>
                <c:pt idx="1">
                  <c:v>0.16043292971515949</c:v>
                </c:pt>
                <c:pt idx="2">
                  <c:v>0.19097744240893258</c:v>
                </c:pt>
                <c:pt idx="3">
                  <c:v>2.619341924398199E-2</c:v>
                </c:pt>
                <c:pt idx="4">
                  <c:v>5.7629531192694324E-2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0E-4DAA-8C8E-2609A6D2B68C}"/>
            </c:ext>
            <c:ext xmlns:c15="http://schemas.microsoft.com/office/drawing/2012/chart" uri="{02D57815-91ED-43cb-92C2-25804820EDAC}">
              <c15:datalabelsRange>
                <c15:f>'ALG-EXPL'!$B$21:$Z$21</c15:f>
                <c15:dlblRangeCache>
                  <c:ptCount val="5"/>
                  <c:pt idx="0">
                    <c:v>7.608</c:v>
                  </c:pt>
                  <c:pt idx="1">
                    <c:v>2.161</c:v>
                  </c:pt>
                  <c:pt idx="2">
                    <c:v>2.573</c:v>
                  </c:pt>
                  <c:pt idx="3">
                    <c:v>353</c:v>
                  </c:pt>
                  <c:pt idx="4">
                    <c:v>776</c:v>
                  </c:pt>
                </c15:dlblRangeCache>
              </c15:datalabelsRange>
            </c:ext>
          </c:extLst>
        </c:ser>
        <c:ser>
          <c:idx val="1"/>
          <c:order val="1"/>
          <c:tx>
            <c:v>Nº Explotaciones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B988587-CF68-4D71-AE5B-5AE41474215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939DA984-39A7-438A-BC4C-A3B4963BFD5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E3589F1-9FE4-4ECA-A091-39315BAEDC9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8216CD9-C703-4779-82C8-3C4481C7F1B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1811612-1000-4863-9216-924A936CDBD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'ALG-EXPL'!$AC$42:$AG$42</c:f>
              <c:numCache>
                <c:formatCode>0%</c:formatCode>
                <c:ptCount val="5"/>
                <c:pt idx="0">
                  <c:v>0.94467544467544462</c:v>
                </c:pt>
                <c:pt idx="1">
                  <c:v>3.6498036498036499E-2</c:v>
                </c:pt>
                <c:pt idx="2">
                  <c:v>1.7787017787017786E-2</c:v>
                </c:pt>
                <c:pt idx="3" formatCode="0.00%">
                  <c:v>8.0850080850080849E-4</c:v>
                </c:pt>
                <c:pt idx="4" formatCode="0.00%">
                  <c:v>2.3100023100023099E-4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0E-4DAA-8C8E-2609A6D2B68C}"/>
            </c:ext>
            <c:ext xmlns:c15="http://schemas.microsoft.com/office/drawing/2012/chart" uri="{02D57815-91ED-43cb-92C2-25804820EDAC}">
              <c15:datalabelsRange>
                <c15:f>'ALG-EXPL'!$B$42:$Z$42</c15:f>
                <c15:dlblRangeCache>
                  <c:ptCount val="5"/>
                  <c:pt idx="0">
                    <c:v>8.179</c:v>
                  </c:pt>
                  <c:pt idx="1">
                    <c:v>316</c:v>
                  </c:pt>
                  <c:pt idx="2">
                    <c:v>154</c:v>
                  </c:pt>
                  <c:pt idx="3">
                    <c:v>7</c:v>
                  </c:pt>
                  <c:pt idx="4">
                    <c:v>2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8859952"/>
        <c:axId val="1088862128"/>
      </c:barChart>
      <c:catAx>
        <c:axId val="108885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Superfcie (ha)</a:t>
                </a:r>
              </a:p>
            </c:rich>
          </c:tx>
          <c:layout>
            <c:manualLayout>
              <c:xMode val="edge"/>
              <c:yMode val="edge"/>
              <c:x val="0.78821332269112354"/>
              <c:y val="0.926080464156138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2128"/>
        <c:crosses val="autoZero"/>
        <c:auto val="1"/>
        <c:lblAlgn val="ctr"/>
        <c:lblOffset val="100"/>
        <c:noMultiLvlLbl val="0"/>
      </c:catAx>
      <c:valAx>
        <c:axId val="108886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06163857659432"/>
          <c:y val="0.93723806363814466"/>
          <c:w val="0.45036615473793307"/>
          <c:h val="6.27619363618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Castaño</a:t>
            </a:r>
            <a:r>
              <a:rPr lang="es-ES">
                <a:solidFill>
                  <a:schemeClr val="tx1"/>
                </a:solidFill>
              </a:rPr>
              <a:t>: Superficie vs NºExplotaciones</a:t>
            </a:r>
            <a:r>
              <a:rPr lang="es-ES" baseline="0">
                <a:solidFill>
                  <a:schemeClr val="tx1"/>
                </a:solidFill>
              </a:rPr>
              <a:t> (España)</a:t>
            </a:r>
            <a:endParaRPr lang="es-ES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209825936344785E-2"/>
          <c:y val="0.11611577964519143"/>
          <c:w val="0.87899295247104514"/>
          <c:h val="0.70060360102046071"/>
        </c:manualLayout>
      </c:layout>
      <c:barChart>
        <c:barDir val="col"/>
        <c:grouping val="clustered"/>
        <c:varyColors val="0"/>
        <c:ser>
          <c:idx val="0"/>
          <c:order val="0"/>
          <c:tx>
            <c:v>Superficie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F3D5C39-464A-4534-A37F-DC013052AB3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90535FE-9D6B-4317-BC5D-3C0B96F5FB7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FBA941C-FA2A-498F-8A2A-362255748CF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F68DA56-C8D5-4FE0-A691-C1676C793ED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A931991-D1CE-47F4-8A92-07C00ADA13C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'CAS-EXPL'!$AC$21:$AG$21</c:f>
              <c:numCache>
                <c:formatCode>0%</c:formatCode>
                <c:ptCount val="5"/>
                <c:pt idx="0">
                  <c:v>0.41323868462565222</c:v>
                </c:pt>
                <c:pt idx="1">
                  <c:v>0.15597814939977428</c:v>
                </c:pt>
                <c:pt idx="2">
                  <c:v>0.29929136961426411</c:v>
                </c:pt>
                <c:pt idx="3">
                  <c:v>4.7665836584399393E-2</c:v>
                </c:pt>
                <c:pt idx="4">
                  <c:v>8.3825959775910008E-2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91-450E-BAAC-7FAD6E329CCC}"/>
            </c:ext>
            <c:ext xmlns:c15="http://schemas.microsoft.com/office/drawing/2012/chart" uri="{02D57815-91ED-43cb-92C2-25804820EDAC}">
              <c15:datalabelsRange>
                <c15:f>'CAS-EXPL'!$B$21:$Z$21</c15:f>
                <c15:dlblRangeCache>
                  <c:ptCount val="5"/>
                  <c:pt idx="0">
                    <c:v>3.848</c:v>
                  </c:pt>
                  <c:pt idx="1">
                    <c:v>1.453</c:v>
                  </c:pt>
                  <c:pt idx="2">
                    <c:v>2.787</c:v>
                  </c:pt>
                  <c:pt idx="3">
                    <c:v>444</c:v>
                  </c:pt>
                  <c:pt idx="4">
                    <c:v>781</c:v>
                  </c:pt>
                </c15:dlblRangeCache>
              </c15:datalabelsRange>
            </c:ext>
          </c:extLst>
        </c:ser>
        <c:ser>
          <c:idx val="1"/>
          <c:order val="1"/>
          <c:tx>
            <c:v>Nº Explotaciones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C4CFA426-4934-4024-B353-B62D8C32F0E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04243F7-F2BF-4C49-ADA6-114686263D2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4E1E7A2-03B0-4FD8-8288-B4B6DC0F905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44F8D77-1F4D-475D-A5C6-0DED6C5A055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B631235-1BEA-41C1-B8D3-1F987EDD723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'CAS-EXPL'!$AC$42:$AG$42</c:f>
              <c:numCache>
                <c:formatCode>0%</c:formatCode>
                <c:ptCount val="5"/>
                <c:pt idx="0">
                  <c:v>0.91870940708150006</c:v>
                </c:pt>
                <c:pt idx="1">
                  <c:v>4.4206997695369787E-2</c:v>
                </c:pt>
                <c:pt idx="2">
                  <c:v>3.4150429499266707E-2</c:v>
                </c:pt>
                <c:pt idx="3" formatCode="0.00%">
                  <c:v>1.6760946993505132E-3</c:v>
                </c:pt>
                <c:pt idx="4" formatCode="0.00%">
                  <c:v>1.257071024512885E-3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91-450E-BAAC-7FAD6E329CCC}"/>
            </c:ext>
            <c:ext xmlns:c15="http://schemas.microsoft.com/office/drawing/2012/chart" uri="{02D57815-91ED-43cb-92C2-25804820EDAC}">
              <c15:datalabelsRange>
                <c15:f>'CAS-EXPL'!$B$42:$Z$42</c15:f>
                <c15:dlblRangeCache>
                  <c:ptCount val="5"/>
                  <c:pt idx="0">
                    <c:v>4.385</c:v>
                  </c:pt>
                  <c:pt idx="1">
                    <c:v>211</c:v>
                  </c:pt>
                  <c:pt idx="2">
                    <c:v>163</c:v>
                  </c:pt>
                  <c:pt idx="3">
                    <c:v>8</c:v>
                  </c:pt>
                  <c:pt idx="4">
                    <c:v>6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8855056"/>
        <c:axId val="1088863760"/>
      </c:barChart>
      <c:catAx>
        <c:axId val="108885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79415204283384677"/>
              <c:y val="0.925769867001918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3760"/>
        <c:crosses val="autoZero"/>
        <c:auto val="1"/>
        <c:lblAlgn val="ctr"/>
        <c:lblOffset val="100"/>
        <c:noMultiLvlLbl val="0"/>
      </c:catAx>
      <c:valAx>
        <c:axId val="108886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478609596455115"/>
          <c:y val="0.93697434879463593"/>
          <c:w val="0.47923872304981185"/>
          <c:h val="6.3025651205364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Total Frutos Secos: </a:t>
            </a:r>
          </a:p>
          <a:p>
            <a:pPr>
              <a:defRPr/>
            </a:pPr>
            <a:r>
              <a:rPr lang="es-ES"/>
              <a:t>RSU REGEPA 2019 vs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23330359182412"/>
          <c:y val="0.25861575178997614"/>
          <c:w val="0.79175737176170613"/>
          <c:h val="0.496618495480427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'Frutos secos TOTAL'!$T$5</c:f>
              <c:strCache>
                <c:ptCount val="1"/>
                <c:pt idx="0">
                  <c:v>RSU REGEPA 2019</c:v>
                </c:pt>
              </c:strCache>
            </c:strRef>
          </c:tx>
          <c:spPr>
            <a:solidFill>
              <a:srgbClr val="E7CFB7"/>
            </a:solidFill>
            <a:ln>
              <a:solidFill>
                <a:srgbClr val="996633"/>
              </a:solidFill>
            </a:ln>
            <a:effectLst/>
          </c:spPr>
          <c:invertIfNegative val="0"/>
          <c:cat>
            <c:strRef>
              <c:f>'Frutos secos TOTAL'!$S$6:$S$11</c:f>
              <c:strCache>
                <c:ptCount val="6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  <c:pt idx="4">
                  <c:v>Castaño</c:v>
                </c:pt>
                <c:pt idx="5">
                  <c:v>Nogal</c:v>
                </c:pt>
              </c:strCache>
            </c:strRef>
          </c:cat>
          <c:val>
            <c:numRef>
              <c:f>'Frutos secos TOTAL'!$T$6:$T$11</c:f>
              <c:numCache>
                <c:formatCode>#,##0</c:formatCode>
                <c:ptCount val="6"/>
                <c:pt idx="0">
                  <c:v>559295.72</c:v>
                </c:pt>
                <c:pt idx="1">
                  <c:v>38331.620000000003</c:v>
                </c:pt>
                <c:pt idx="2">
                  <c:v>10578.050000000001</c:v>
                </c:pt>
                <c:pt idx="3">
                  <c:v>13896.249999999998</c:v>
                </c:pt>
                <c:pt idx="4">
                  <c:v>9128.3000000000029</c:v>
                </c:pt>
                <c:pt idx="5">
                  <c:v>8899.6900000000023</c:v>
                </c:pt>
              </c:numCache>
            </c:numRef>
          </c:val>
          <c:extLst/>
        </c:ser>
        <c:ser>
          <c:idx val="1"/>
          <c:order val="1"/>
          <c:tx>
            <c:strRef>
              <c:f>'Frutos secos TOTAL'!$U$5</c:f>
              <c:strCache>
                <c:ptCount val="1"/>
                <c:pt idx="0">
                  <c:v>RSU REGEPA 2020</c:v>
                </c:pt>
              </c:strCache>
            </c:strRef>
          </c:tx>
          <c:spPr>
            <a:solidFill>
              <a:srgbClr val="CB9763"/>
            </a:solidFill>
            <a:ln>
              <a:solidFill>
                <a:srgbClr val="663300"/>
              </a:solidFill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C1B2076A-6EFD-40FC-A8E2-8DF13B2F77F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DCF078F-DCAE-4D90-845D-2EC5734E845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6086FED-56ED-43E3-8DFE-C1A8A98692DA}" type="CELLRANGE">
                      <a:rPr lang="es-E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s-E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48ADDFA-3F1E-45FF-A839-BEB5DE351C7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9164BDD-A4B2-4B53-94B9-224622B5370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3637F687-AC08-445A-8B7D-2EE636CAE1F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'Frutos secos TOTAL'!$S$6:$S$11</c:f>
              <c:strCache>
                <c:ptCount val="6"/>
                <c:pt idx="0">
                  <c:v>Almendro</c:v>
                </c:pt>
                <c:pt idx="1">
                  <c:v>Pistacho</c:v>
                </c:pt>
                <c:pt idx="2">
                  <c:v>Avellano</c:v>
                </c:pt>
                <c:pt idx="3">
                  <c:v>Algarrobo</c:v>
                </c:pt>
                <c:pt idx="4">
                  <c:v>Castaño</c:v>
                </c:pt>
                <c:pt idx="5">
                  <c:v>Nogal</c:v>
                </c:pt>
              </c:strCache>
            </c:strRef>
          </c:cat>
          <c:val>
            <c:numRef>
              <c:f>'Frutos secos TOTAL'!$U$6:$U$11</c:f>
              <c:numCache>
                <c:formatCode>#,##0</c:formatCode>
                <c:ptCount val="6"/>
                <c:pt idx="0">
                  <c:v>596525.7799999998</c:v>
                </c:pt>
                <c:pt idx="1">
                  <c:v>48238.960000000006</c:v>
                </c:pt>
                <c:pt idx="2">
                  <c:v>10222.830000000004</c:v>
                </c:pt>
                <c:pt idx="3">
                  <c:v>15087.090000000004</c:v>
                </c:pt>
                <c:pt idx="4">
                  <c:v>9700.739999999998</c:v>
                </c:pt>
                <c:pt idx="5">
                  <c:v>9551.43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'Frutos secos TOTAL'!$V$6:$V$11</c15:f>
                <c15:dlblRangeCache>
                  <c:ptCount val="6"/>
                  <c:pt idx="0">
                    <c:v>6,7%</c:v>
                  </c:pt>
                  <c:pt idx="1">
                    <c:v>25,8%</c:v>
                  </c:pt>
                  <c:pt idx="2">
                    <c:v>-3,4%</c:v>
                  </c:pt>
                  <c:pt idx="3">
                    <c:v>8,6%</c:v>
                  </c:pt>
                  <c:pt idx="4">
                    <c:v>6,3%</c:v>
                  </c:pt>
                  <c:pt idx="5">
                    <c:v>7,3%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0222640"/>
        <c:axId val="970222096"/>
      </c:barChart>
      <c:catAx>
        <c:axId val="970222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2096"/>
        <c:crosses val="autoZero"/>
        <c:auto val="1"/>
        <c:lblAlgn val="ctr"/>
        <c:lblOffset val="100"/>
        <c:noMultiLvlLbl val="0"/>
      </c:catAx>
      <c:valAx>
        <c:axId val="97022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22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325021329933558"/>
          <c:y val="0.91945051021366941"/>
          <c:w val="0.45349957340132879"/>
          <c:h val="8.05494897863304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Nogal: </a:t>
            </a:r>
            <a:r>
              <a:rPr lang="es-ES">
                <a:solidFill>
                  <a:schemeClr val="tx1"/>
                </a:solidFill>
              </a:rPr>
              <a:t>Superficie vs NºExplotaciones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775315786332157E-2"/>
          <c:y val="0.14313553059235076"/>
          <c:w val="0.88233263580343135"/>
          <c:h val="0.65896317346564215"/>
        </c:manualLayout>
      </c:layout>
      <c:barChart>
        <c:barDir val="col"/>
        <c:grouping val="clustered"/>
        <c:varyColors val="0"/>
        <c:ser>
          <c:idx val="0"/>
          <c:order val="0"/>
          <c:tx>
            <c:v>Superficie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4EDC6CB5-BEF2-4694-8130-CD154B9BF1E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D04A548-1993-4B29-A283-0B39D3ABA65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71ACDE9-EBD8-46B8-B8AA-24F6F4C217F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70E7300-339E-413A-867F-96B486B745F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386A10B-F1C5-490A-AF06-573CCF74371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'NOG-EXPL'!$AC$25:$AG$25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'NOG-EXPL'!$AC$21:$AG$21</c:f>
              <c:numCache>
                <c:formatCode>0%</c:formatCode>
                <c:ptCount val="5"/>
                <c:pt idx="0">
                  <c:v>0.23930307021709477</c:v>
                </c:pt>
                <c:pt idx="1">
                  <c:v>9.7058557817005411E-2</c:v>
                </c:pt>
                <c:pt idx="2">
                  <c:v>0.23801118201561849</c:v>
                </c:pt>
                <c:pt idx="3">
                  <c:v>0.16671864425524779</c:v>
                </c:pt>
                <c:pt idx="4">
                  <c:v>0.25890854569503358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F4-4A24-8D03-1D709F593162}"/>
            </c:ext>
            <c:ext xmlns:c15="http://schemas.microsoft.com/office/drawing/2012/chart" uri="{02D57815-91ED-43cb-92C2-25804820EDAC}">
              <c15:datalabelsRange>
                <c15:f>'NOG-EXPL'!$B$21:$Z$21</c15:f>
                <c15:dlblRangeCache>
                  <c:ptCount val="5"/>
                  <c:pt idx="0">
                    <c:v>2.168</c:v>
                  </c:pt>
                  <c:pt idx="1">
                    <c:v>879</c:v>
                  </c:pt>
                  <c:pt idx="2">
                    <c:v>2.156</c:v>
                  </c:pt>
                  <c:pt idx="3">
                    <c:v>1.510</c:v>
                  </c:pt>
                  <c:pt idx="4">
                    <c:v>2.346</c:v>
                  </c:pt>
                </c15:dlblRangeCache>
              </c15:datalabelsRange>
            </c:ext>
          </c:extLst>
        </c:ser>
        <c:ser>
          <c:idx val="1"/>
          <c:order val="1"/>
          <c:tx>
            <c:v>Nº Explotaciones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E17C7EA-418C-4CC3-AB7A-1462B0EEF8B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3FF88F8-CF30-4EB8-B2DE-DE97431990A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050780C-6B4E-426F-A8A0-196A27ACE52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5D1CFA9-BB38-44A9-9018-FF211BD87F6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FB0F96C-55B6-428D-B981-23BE753989C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'NOG-EXPL'!$AC$25:$AG$25</c:f>
              <c:strCache>
                <c:ptCount val="5"/>
                <c:pt idx="0">
                  <c:v> &gt;0-5</c:v>
                </c:pt>
                <c:pt idx="1">
                  <c:v>&gt;5-10</c:v>
                </c:pt>
                <c:pt idx="2">
                  <c:v> 10-40</c:v>
                </c:pt>
                <c:pt idx="3">
                  <c:v>40-100</c:v>
                </c:pt>
                <c:pt idx="4">
                  <c:v>&gt;100</c:v>
                </c:pt>
              </c:strCache>
            </c:strRef>
          </c:cat>
          <c:val>
            <c:numRef>
              <c:f>'NOG-EXPL'!$AC$42:$AG$42</c:f>
              <c:numCache>
                <c:formatCode>0%</c:formatCode>
                <c:ptCount val="5"/>
                <c:pt idx="0">
                  <c:v>0.92492652952177401</c:v>
                </c:pt>
                <c:pt idx="1">
                  <c:v>3.3395671920919051E-2</c:v>
                </c:pt>
                <c:pt idx="2">
                  <c:v>3.205984504408229E-2</c:v>
                </c:pt>
                <c:pt idx="3">
                  <c:v>6.9462997595511619E-3</c:v>
                </c:pt>
                <c:pt idx="4" formatCode="0.00%">
                  <c:v>2.6716537536735237E-3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F4-4A24-8D03-1D709F593162}"/>
            </c:ext>
            <c:ext xmlns:c15="http://schemas.microsoft.com/office/drawing/2012/chart" uri="{02D57815-91ED-43cb-92C2-25804820EDAC}">
              <c15:datalabelsRange>
                <c15:f>'NOG-EXPL'!$B$42:$Z$42</c15:f>
                <c15:dlblRangeCache>
                  <c:ptCount val="5"/>
                  <c:pt idx="0">
                    <c:v>3.462</c:v>
                  </c:pt>
                  <c:pt idx="1">
                    <c:v>125</c:v>
                  </c:pt>
                  <c:pt idx="2">
                    <c:v>120</c:v>
                  </c:pt>
                  <c:pt idx="3">
                    <c:v>26</c:v>
                  </c:pt>
                  <c:pt idx="4">
                    <c:v>10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8860496"/>
        <c:axId val="1088856144"/>
      </c:barChart>
      <c:catAx>
        <c:axId val="1088860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78870291310971807"/>
              <c:y val="0.937933773498216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6144"/>
        <c:crosses val="autoZero"/>
        <c:auto val="1"/>
        <c:lblAlgn val="ctr"/>
        <c:lblOffset val="100"/>
        <c:noMultiLvlLbl val="0"/>
      </c:catAx>
      <c:valAx>
        <c:axId val="108885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67977254073385"/>
          <c:y val="0.93021549198878839"/>
          <c:w val="0.49979147506808702"/>
          <c:h val="6.97845080112115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ALMENDRO (secano): </a:t>
            </a:r>
            <a:r>
              <a:rPr lang="es-ES">
                <a:solidFill>
                  <a:schemeClr val="tx1"/>
                </a:solidFill>
              </a:rPr>
              <a:t>Superficie plantada según tipo de variedades (ha)</a:t>
            </a:r>
          </a:p>
        </c:rich>
      </c:tx>
      <c:layout>
        <c:manualLayout>
          <c:xMode val="edge"/>
          <c:yMode val="edge"/>
          <c:x val="0.14987194694721762"/>
          <c:y val="2.1709630557359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'ALM-VAR'!$Q$7:$S$7</c:f>
              <c:strCache>
                <c:ptCount val="1"/>
                <c:pt idx="0">
                  <c:v>ALMENDRO SECANO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DFAAA2A-11FF-4CA6-9295-3C3C6160963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70A69F5-E77B-4824-A509-39C117A0958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22087B4-77EF-447D-891D-84B0B07DD2C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0A382D0-602D-47F1-8C0D-F0BE772EBC2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4551924-439B-4E34-B2DA-EB9A6E6E051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76F66E4-F997-4714-8E2D-34072560424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30105F7-91B4-4C42-AE6C-72613BDE90F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ABF6B4AE-04D7-4105-A479-142FB54BC60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4514EB3-05AE-4F89-8B52-EC4B0D39352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'ALM-VAR'!$Q$8:$Q$16</c:f>
              <c:strCache>
                <c:ptCount val="9"/>
                <c:pt idx="0">
                  <c:v>GUARA</c:v>
                </c:pt>
                <c:pt idx="1">
                  <c:v>COMUNA</c:v>
                </c:pt>
                <c:pt idx="2">
                  <c:v>LARGUETA</c:v>
                </c:pt>
                <c:pt idx="3">
                  <c:v>MARCONA</c:v>
                </c:pt>
                <c:pt idx="4">
                  <c:v>LAURANNE</c:v>
                </c:pt>
                <c:pt idx="5">
                  <c:v>FERRAGNES</c:v>
                </c:pt>
                <c:pt idx="6">
                  <c:v>VAIRO</c:v>
                </c:pt>
                <c:pt idx="7">
                  <c:v>AVIJOR</c:v>
                </c:pt>
                <c:pt idx="8">
                  <c:v>FERRADUEL</c:v>
                </c:pt>
              </c:strCache>
            </c:strRef>
          </c:cat>
          <c:val>
            <c:numRef>
              <c:f>'ALM-VAR'!$R$8:$R$16</c:f>
              <c:numCache>
                <c:formatCode>#,##0</c:formatCode>
                <c:ptCount val="9"/>
                <c:pt idx="0">
                  <c:v>136760.59</c:v>
                </c:pt>
                <c:pt idx="1">
                  <c:v>79192.87</c:v>
                </c:pt>
                <c:pt idx="2">
                  <c:v>53642.59</c:v>
                </c:pt>
                <c:pt idx="3">
                  <c:v>38546</c:v>
                </c:pt>
                <c:pt idx="4">
                  <c:v>27840.46</c:v>
                </c:pt>
                <c:pt idx="5">
                  <c:v>17617.47</c:v>
                </c:pt>
                <c:pt idx="6">
                  <c:v>12782.74</c:v>
                </c:pt>
                <c:pt idx="7">
                  <c:v>9314.67</c:v>
                </c:pt>
                <c:pt idx="8">
                  <c:v>8293.8700000000008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A05-4F67-B4C9-D446E414CD6A}"/>
            </c:ext>
            <c:ext xmlns:c15="http://schemas.microsoft.com/office/drawing/2012/chart" uri="{02D57815-91ED-43cb-92C2-25804820EDAC}">
              <c15:datalabelsRange>
                <c15:f>'ALM-VAR'!$S$8:$S$16</c15:f>
                <c15:dlblRangeCache>
                  <c:ptCount val="9"/>
                  <c:pt idx="0">
                    <c:v>28%</c:v>
                  </c:pt>
                  <c:pt idx="1">
                    <c:v>16%</c:v>
                  </c:pt>
                  <c:pt idx="2">
                    <c:v>11%</c:v>
                  </c:pt>
                  <c:pt idx="3">
                    <c:v>8%</c:v>
                  </c:pt>
                  <c:pt idx="4">
                    <c:v>6%</c:v>
                  </c:pt>
                  <c:pt idx="5">
                    <c:v>4%</c:v>
                  </c:pt>
                  <c:pt idx="6">
                    <c:v>3%</c:v>
                  </c:pt>
                  <c:pt idx="7">
                    <c:v>1,92%</c:v>
                  </c:pt>
                  <c:pt idx="8">
                    <c:v>1,71%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8864304"/>
        <c:axId val="1088857776"/>
      </c:barChart>
      <c:catAx>
        <c:axId val="1088864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7776"/>
        <c:crosses val="autoZero"/>
        <c:auto val="1"/>
        <c:lblAlgn val="ctr"/>
        <c:lblOffset val="100"/>
        <c:noMultiLvlLbl val="0"/>
      </c:catAx>
      <c:valAx>
        <c:axId val="108885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ALMENDRO</a:t>
            </a:r>
            <a:r>
              <a:rPr lang="es-ES" b="1" baseline="0">
                <a:solidFill>
                  <a:schemeClr val="tx1"/>
                </a:solidFill>
              </a:rPr>
              <a:t> (Regadío): </a:t>
            </a:r>
            <a:r>
              <a:rPr lang="es-ES" baseline="0">
                <a:solidFill>
                  <a:schemeClr val="tx1"/>
                </a:solidFill>
              </a:rPr>
              <a:t>Superficie plantada según tipo de variedades (ha)</a:t>
            </a:r>
            <a:endParaRPr lang="es-E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'ALM-VAR'!$Q$66:$S$66</c:f>
              <c:strCache>
                <c:ptCount val="1"/>
                <c:pt idx="0">
                  <c:v>ALMENDRO REGADÍO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372D24E-3D28-4C3B-A2F4-89FE3925121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07E731B-5452-4160-998D-27412AB1228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8359195-A500-4289-885A-9FB03B1A5D2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0BBB1AB-EFF7-471B-9882-1D3B9AC5A21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540983E-E1CC-4379-8AFB-BFA9C01CCE0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DD09C35-E5F7-44E9-BF1F-B15F55ED3C6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AA358D2-C171-4B37-AA67-B3836D7D7BC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38B3B87-B91D-449A-9BCC-32A0F22F07A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A3F56EF-E4F7-4770-B064-E6D37618BAD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090-4D3C-BCF2-E27D6765013A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37D1BC7-6656-4CAB-9AB0-423423B10DE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090-4D3C-BCF2-E27D6765013A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'ALM-VAR'!$Q$67:$Q$76</c:f>
              <c:strCache>
                <c:ptCount val="10"/>
                <c:pt idx="0">
                  <c:v>GUARA</c:v>
                </c:pt>
                <c:pt idx="1">
                  <c:v>LAURANNE</c:v>
                </c:pt>
                <c:pt idx="2">
                  <c:v>VAIRO</c:v>
                </c:pt>
                <c:pt idx="3">
                  <c:v>COMUNA</c:v>
                </c:pt>
                <c:pt idx="4">
                  <c:v>MARIANDA</c:v>
                </c:pt>
                <c:pt idx="5">
                  <c:v>SOLETA</c:v>
                </c:pt>
                <c:pt idx="6">
                  <c:v>AVIJOR</c:v>
                </c:pt>
                <c:pt idx="7">
                  <c:v>PENTACEBAS CSIC</c:v>
                </c:pt>
                <c:pt idx="8">
                  <c:v>MARCONA</c:v>
                </c:pt>
                <c:pt idx="9">
                  <c:v>LARGUETA</c:v>
                </c:pt>
              </c:strCache>
            </c:strRef>
          </c:cat>
          <c:val>
            <c:numRef>
              <c:f>'ALM-VAR'!$R$67:$R$76</c:f>
              <c:numCache>
                <c:formatCode>#,##0</c:formatCode>
                <c:ptCount val="10"/>
                <c:pt idx="0">
                  <c:v>22227.46</c:v>
                </c:pt>
                <c:pt idx="1">
                  <c:v>16535.52</c:v>
                </c:pt>
                <c:pt idx="2">
                  <c:v>6994.11</c:v>
                </c:pt>
                <c:pt idx="3">
                  <c:v>5733.81</c:v>
                </c:pt>
                <c:pt idx="4">
                  <c:v>5752.37</c:v>
                </c:pt>
                <c:pt idx="5">
                  <c:v>5218.2700000000004</c:v>
                </c:pt>
                <c:pt idx="6">
                  <c:v>5252.08</c:v>
                </c:pt>
                <c:pt idx="7">
                  <c:v>4376.49</c:v>
                </c:pt>
                <c:pt idx="8">
                  <c:v>2224.4299999999998</c:v>
                </c:pt>
                <c:pt idx="9">
                  <c:v>2161.04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FBD-4888-B58C-2C13B4395B36}"/>
            </c:ext>
            <c:ext xmlns:c15="http://schemas.microsoft.com/office/drawing/2012/chart" uri="{02D57815-91ED-43cb-92C2-25804820EDAC}">
              <c15:datalabelsRange>
                <c15:f>'ALM-VAR'!$S$67:$S$78</c15:f>
                <c15:dlblRangeCache>
                  <c:ptCount val="12"/>
                  <c:pt idx="0">
                    <c:v>23%</c:v>
                  </c:pt>
                  <c:pt idx="1">
                    <c:v>17%</c:v>
                  </c:pt>
                  <c:pt idx="2">
                    <c:v>7%</c:v>
                  </c:pt>
                  <c:pt idx="3">
                    <c:v>6%</c:v>
                  </c:pt>
                  <c:pt idx="4">
                    <c:v>6%</c:v>
                  </c:pt>
                  <c:pt idx="5">
                    <c:v>5%</c:v>
                  </c:pt>
                  <c:pt idx="6">
                    <c:v>5%</c:v>
                  </c:pt>
                  <c:pt idx="7">
                    <c:v>4,4%</c:v>
                  </c:pt>
                  <c:pt idx="8">
                    <c:v>2,25%</c:v>
                  </c:pt>
                  <c:pt idx="9">
                    <c:v>2,19%</c:v>
                  </c:pt>
                  <c:pt idx="10">
                    <c:v>8%</c:v>
                  </c:pt>
                  <c:pt idx="11">
                    <c:v>15%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8856688"/>
        <c:axId val="1088858320"/>
      </c:barChart>
      <c:catAx>
        <c:axId val="1088856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8320"/>
        <c:crosses val="autoZero"/>
        <c:auto val="1"/>
        <c:lblAlgn val="ctr"/>
        <c:lblOffset val="100"/>
        <c:noMultiLvlLbl val="0"/>
      </c:catAx>
      <c:valAx>
        <c:axId val="1088858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PISTACHO (secano):</a:t>
            </a:r>
            <a:r>
              <a:rPr lang="es-ES" b="1" baseline="0">
                <a:solidFill>
                  <a:schemeClr val="tx1"/>
                </a:solidFill>
              </a:rPr>
              <a:t> </a:t>
            </a:r>
            <a:r>
              <a:rPr lang="es-ES" baseline="0">
                <a:solidFill>
                  <a:schemeClr val="tx1"/>
                </a:solidFill>
              </a:rPr>
              <a:t>Superficie plantada según tipo de variedades (ha)</a:t>
            </a:r>
            <a:endParaRPr lang="es-ES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644293599253145"/>
          <c:y val="0.19445637107763866"/>
          <c:w val="0.76817274085101872"/>
          <c:h val="0.70993000121051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'PIS-VAR'!$P$9:$R$9</c:f>
              <c:strCache>
                <c:ptCount val="1"/>
                <c:pt idx="0">
                  <c:v>PISTACHO SECANO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D44079A-1D55-4FB0-8038-FE7565E4487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CD2B7A8-9E0E-49E9-AB0D-BE4A54839A8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EE6A9C3-D077-492A-AA87-0631442B859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02B0EF5-9D9C-442E-BE31-1EF3890838F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10D1BC0D-76DD-45D1-ACAA-E361E12213D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770A4DE-237C-4227-B0BD-1FA997E9CAA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1A44110-AD90-4818-A6A3-5ED41AAB57C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657E4CE-E215-46C5-8DB5-B5C418638A0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F150CB8E-9C85-43CA-8FDF-C83C9C79A3A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BBC6A332-082E-496C-87A3-3539260988A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'PIS-VAR'!$P$10:$P$19</c:f>
              <c:strCache>
                <c:ptCount val="10"/>
                <c:pt idx="0">
                  <c:v>KERMAN</c:v>
                </c:pt>
                <c:pt idx="1">
                  <c:v>SIRORA</c:v>
                </c:pt>
                <c:pt idx="2">
                  <c:v>LARNAKA</c:v>
                </c:pt>
                <c:pt idx="3">
                  <c:v>AVDAT</c:v>
                </c:pt>
                <c:pt idx="4">
                  <c:v>AEGINA</c:v>
                </c:pt>
                <c:pt idx="5">
                  <c:v>LOST HILLS</c:v>
                </c:pt>
                <c:pt idx="6">
                  <c:v>MATEUR</c:v>
                </c:pt>
                <c:pt idx="7">
                  <c:v>PETER</c:v>
                </c:pt>
                <c:pt idx="8">
                  <c:v>GOLDENS HILLS</c:v>
                </c:pt>
                <c:pt idx="9">
                  <c:v>KASTEL</c:v>
                </c:pt>
              </c:strCache>
            </c:strRef>
          </c:cat>
          <c:val>
            <c:numRef>
              <c:f>'PIS-VAR'!$Q$10:$Q$19</c:f>
              <c:numCache>
                <c:formatCode>#,##0</c:formatCode>
                <c:ptCount val="10"/>
                <c:pt idx="0">
                  <c:v>19144.37</c:v>
                </c:pt>
                <c:pt idx="1">
                  <c:v>1925.02</c:v>
                </c:pt>
                <c:pt idx="2">
                  <c:v>690.08</c:v>
                </c:pt>
                <c:pt idx="3">
                  <c:v>286.13</c:v>
                </c:pt>
                <c:pt idx="4">
                  <c:v>249.42</c:v>
                </c:pt>
                <c:pt idx="5">
                  <c:v>235.11</c:v>
                </c:pt>
                <c:pt idx="6">
                  <c:v>145.71</c:v>
                </c:pt>
                <c:pt idx="7">
                  <c:v>104.62999999999998</c:v>
                </c:pt>
                <c:pt idx="8">
                  <c:v>39.82</c:v>
                </c:pt>
                <c:pt idx="9">
                  <c:v>87.33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FA9-43BA-AD0B-E9BE446AEAAF}"/>
            </c:ext>
            <c:ext xmlns:c15="http://schemas.microsoft.com/office/drawing/2012/chart" uri="{02D57815-91ED-43cb-92C2-25804820EDAC}">
              <c15:datalabelsRange>
                <c15:f>'PIS-VAR'!$R$10:$R$21</c15:f>
                <c15:dlblRangeCache>
                  <c:ptCount val="12"/>
                  <c:pt idx="0">
                    <c:v>52%</c:v>
                  </c:pt>
                  <c:pt idx="1">
                    <c:v>5,3%</c:v>
                  </c:pt>
                  <c:pt idx="2">
                    <c:v>1,9%</c:v>
                  </c:pt>
                  <c:pt idx="3">
                    <c:v>0,8%</c:v>
                  </c:pt>
                  <c:pt idx="4">
                    <c:v>0,7%</c:v>
                  </c:pt>
                  <c:pt idx="5">
                    <c:v>0,64%</c:v>
                  </c:pt>
                  <c:pt idx="6">
                    <c:v>0,4%</c:v>
                  </c:pt>
                  <c:pt idx="7">
                    <c:v>0,29%</c:v>
                  </c:pt>
                  <c:pt idx="8">
                    <c:v>0,11%</c:v>
                  </c:pt>
                  <c:pt idx="9">
                    <c:v>0,24%</c:v>
                  </c:pt>
                  <c:pt idx="10">
                    <c:v>26%</c:v>
                  </c:pt>
                  <c:pt idx="11">
                    <c:v>11%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8864848"/>
        <c:axId val="1088865392"/>
      </c:barChart>
      <c:catAx>
        <c:axId val="1088864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5392"/>
        <c:crosses val="autoZero"/>
        <c:auto val="1"/>
        <c:lblAlgn val="ctr"/>
        <c:lblOffset val="100"/>
        <c:noMultiLvlLbl val="0"/>
      </c:catAx>
      <c:valAx>
        <c:axId val="108886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PISTACHO</a:t>
            </a:r>
            <a:r>
              <a:rPr lang="es-ES" b="1" baseline="0">
                <a:solidFill>
                  <a:schemeClr val="tx1"/>
                </a:solidFill>
              </a:rPr>
              <a:t> (regadío): </a:t>
            </a:r>
            <a:r>
              <a:rPr lang="es-ES" baseline="0">
                <a:solidFill>
                  <a:schemeClr val="tx1"/>
                </a:solidFill>
              </a:rPr>
              <a:t>Superficie plantada según tipo de variedades (ha)</a:t>
            </a:r>
            <a:endParaRPr lang="es-E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'PIS-VAR'!$P$65:$R$65</c:f>
              <c:strCache>
                <c:ptCount val="1"/>
                <c:pt idx="0">
                  <c:v>PISTACHO REGADÍO</c:v>
                </c:pt>
              </c:strCache>
            </c:strRef>
          </c:tx>
          <c:spPr>
            <a:solidFill>
              <a:srgbClr val="15B70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54E2FA8-ED75-4BEB-B9EC-27BE82FDECC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DD6E9B1-F36B-40E4-9B5A-5322789FC1E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525F75-7E12-461F-8D1A-4A621C4D62B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E0F0CC1-C005-4DDA-8C12-46A225A6CEA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2740B4F-C786-4E25-AA02-67313DF443A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30001DC-714D-4D67-9B95-CB483EB23DF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36EACA9-E901-4AE3-A9F6-B883B084AD0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9DD500E-8417-4CC4-A361-25D868B89FA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E97619D-78AB-46FA-8FB0-34384CC8385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4036DB5-98C8-46A2-9AE0-8D96A0D74E8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'PIS-VAR'!$P$66:$P$75</c:f>
              <c:strCache>
                <c:ptCount val="10"/>
                <c:pt idx="0">
                  <c:v>KERMAN</c:v>
                </c:pt>
                <c:pt idx="1">
                  <c:v>SIRORA</c:v>
                </c:pt>
                <c:pt idx="2">
                  <c:v>LOST HILLS</c:v>
                </c:pt>
                <c:pt idx="3">
                  <c:v>LARNAKA</c:v>
                </c:pt>
                <c:pt idx="4">
                  <c:v>GOLDENS HILLS</c:v>
                </c:pt>
                <c:pt idx="5">
                  <c:v>PETER</c:v>
                </c:pt>
                <c:pt idx="6">
                  <c:v>AEGINA</c:v>
                </c:pt>
                <c:pt idx="7">
                  <c:v>MATEUR</c:v>
                </c:pt>
                <c:pt idx="8">
                  <c:v>ASKAR</c:v>
                </c:pt>
                <c:pt idx="9">
                  <c:v>AVDAT</c:v>
                </c:pt>
              </c:strCache>
            </c:strRef>
          </c:cat>
          <c:val>
            <c:numRef>
              <c:f>'PIS-VAR'!$Q$66:$Q$75</c:f>
              <c:numCache>
                <c:formatCode>#,##0</c:formatCode>
                <c:ptCount val="10"/>
                <c:pt idx="0">
                  <c:v>6008.38</c:v>
                </c:pt>
                <c:pt idx="1">
                  <c:v>950.4</c:v>
                </c:pt>
                <c:pt idx="2">
                  <c:v>496.23</c:v>
                </c:pt>
                <c:pt idx="3">
                  <c:v>158.69</c:v>
                </c:pt>
                <c:pt idx="4">
                  <c:v>134.63</c:v>
                </c:pt>
                <c:pt idx="5">
                  <c:v>57.79</c:v>
                </c:pt>
                <c:pt idx="6">
                  <c:v>76.460000000000008</c:v>
                </c:pt>
                <c:pt idx="7">
                  <c:v>52.06</c:v>
                </c:pt>
                <c:pt idx="8">
                  <c:v>14.529999999999998</c:v>
                </c:pt>
                <c:pt idx="9">
                  <c:v>10.5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FEC-4259-A0CB-9E8F1D219A47}"/>
            </c:ext>
            <c:ext xmlns:c15="http://schemas.microsoft.com/office/drawing/2012/chart" uri="{02D57815-91ED-43cb-92C2-25804820EDAC}">
              <c15:datalabelsRange>
                <c15:f>'PIS-VAR'!$R$66:$R$77</c15:f>
                <c15:dlblRangeCache>
                  <c:ptCount val="12"/>
                  <c:pt idx="0">
                    <c:v>51%</c:v>
                  </c:pt>
                  <c:pt idx="1">
                    <c:v>8%</c:v>
                  </c:pt>
                  <c:pt idx="2">
                    <c:v>4,23%</c:v>
                  </c:pt>
                  <c:pt idx="3">
                    <c:v>1,35%</c:v>
                  </c:pt>
                  <c:pt idx="4">
                    <c:v>1,15%</c:v>
                  </c:pt>
                  <c:pt idx="5">
                    <c:v>0,49%</c:v>
                  </c:pt>
                  <c:pt idx="6">
                    <c:v>0,65%</c:v>
                  </c:pt>
                  <c:pt idx="7">
                    <c:v>0,44%</c:v>
                  </c:pt>
                  <c:pt idx="8">
                    <c:v>0,12%</c:v>
                  </c:pt>
                  <c:pt idx="9">
                    <c:v>0,09%</c:v>
                  </c:pt>
                  <c:pt idx="10">
                    <c:v>22%</c:v>
                  </c:pt>
                  <c:pt idx="11">
                    <c:v>10%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8862672"/>
        <c:axId val="1088865936"/>
      </c:barChart>
      <c:catAx>
        <c:axId val="1088862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5936"/>
        <c:crosses val="autoZero"/>
        <c:auto val="1"/>
        <c:lblAlgn val="ctr"/>
        <c:lblOffset val="100"/>
        <c:noMultiLvlLbl val="0"/>
      </c:catAx>
      <c:valAx>
        <c:axId val="108886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AVELLANO (secano): </a:t>
            </a:r>
            <a:r>
              <a:rPr lang="es-ES">
                <a:solidFill>
                  <a:schemeClr val="tx1"/>
                </a:solidFill>
              </a:rPr>
              <a:t>Superficie plantada según tipod de variedades (ha)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640183219923205"/>
          <c:y val="0.22969781821022334"/>
          <c:w val="0.6722103678052076"/>
          <c:h val="0.60749015060017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'AVE-VAR'!$P$10:$R$10</c:f>
              <c:strCache>
                <c:ptCount val="1"/>
                <c:pt idx="0">
                  <c:v>AVELLANO SECANO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D903481-76F1-4867-8B6B-52A33634FA4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ECAA1AC-BF08-49C0-8975-B77EA13BF6B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93A-4EC3-8B72-744409016D4A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C682687-DE2D-48DF-88E7-F1E9DE33464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0D20C95-8C68-4CEC-978F-C5868B21E44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0F34335-E8AE-4419-9D22-7FA69A698E3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A530D14-26E5-44A1-A1A9-0298245C9EE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E4D15F90-FAF8-4A8A-96F2-07CD34A3E34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A3A041A-0815-4191-ABB9-C363B299BBA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74F528C-49BF-4BB3-837A-E403882B771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2BA337ED-27DC-49E9-B4D1-FEB0FF5774B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'AVE-VAR'!$P$11:$P$22</c15:sqref>
                  </c15:fullRef>
                </c:ext>
              </c:extLst>
              <c:f>'AVE-VAR'!$P$11:$P$20</c:f>
              <c:strCache>
                <c:ptCount val="10"/>
                <c:pt idx="0">
                  <c:v>NEGRET</c:v>
                </c:pt>
                <c:pt idx="1">
                  <c:v>PAUETET</c:v>
                </c:pt>
                <c:pt idx="2">
                  <c:v>NEGKRETTA</c:v>
                </c:pt>
                <c:pt idx="3">
                  <c:v>SAN GIOVANNI</c:v>
                </c:pt>
                <c:pt idx="4">
                  <c:v>TONDA DI GIFFONI</c:v>
                </c:pt>
                <c:pt idx="5">
                  <c:v>CASTANYERA</c:v>
                </c:pt>
                <c:pt idx="6">
                  <c:v>BUTLER</c:v>
                </c:pt>
                <c:pt idx="7">
                  <c:v>ENNIS</c:v>
                </c:pt>
                <c:pt idx="8">
                  <c:v>COSFORD K.2</c:v>
                </c:pt>
                <c:pt idx="9">
                  <c:v>NOISETIER À PELLICULE BLANCHE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'AVE-VAR'!$Q$11:$Q$22</c15:sqref>
                  </c15:fullRef>
                </c:ext>
              </c:extLst>
              <c:f>'AVE-VAR'!$Q$11:$Q$20</c:f>
              <c:numCache>
                <c:formatCode>#,##0</c:formatCode>
                <c:ptCount val="10"/>
                <c:pt idx="0">
                  <c:v>2564.9900000000002</c:v>
                </c:pt>
                <c:pt idx="1">
                  <c:v>110.24</c:v>
                </c:pt>
                <c:pt idx="2">
                  <c:v>110.94999999999999</c:v>
                </c:pt>
                <c:pt idx="3">
                  <c:v>34.29</c:v>
                </c:pt>
                <c:pt idx="4">
                  <c:v>32.379999999999995</c:v>
                </c:pt>
                <c:pt idx="5">
                  <c:v>11.24</c:v>
                </c:pt>
                <c:pt idx="6">
                  <c:v>1.9900000000000002</c:v>
                </c:pt>
                <c:pt idx="7">
                  <c:v>0.89999999999999991</c:v>
                </c:pt>
                <c:pt idx="8">
                  <c:v>1.45</c:v>
                </c:pt>
                <c:pt idx="9">
                  <c:v>0.17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074-4946-8A59-49F0B633B2CC}"/>
            </c:ext>
            <c:ext xmlns:c15="http://schemas.microsoft.com/office/drawing/2012/chart" uri="{02D57815-91ED-43cb-92C2-25804820EDAC}">
              <c15:datalabelsRange>
                <c15:f>'AVE-VAR'!$R$11:$R$22</c15:f>
                <c15:dlblRangeCache>
                  <c:ptCount val="12"/>
                  <c:pt idx="0">
                    <c:v>77%</c:v>
                  </c:pt>
                  <c:pt idx="1">
                    <c:v>3,33%</c:v>
                  </c:pt>
                  <c:pt idx="2">
                    <c:v>3,35%</c:v>
                  </c:pt>
                  <c:pt idx="3">
                    <c:v>1,04%</c:v>
                  </c:pt>
                  <c:pt idx="4">
                    <c:v>0,98%</c:v>
                  </c:pt>
                  <c:pt idx="5">
                    <c:v>0,34%</c:v>
                  </c:pt>
                  <c:pt idx="6">
                    <c:v>0,06%</c:v>
                  </c:pt>
                  <c:pt idx="7">
                    <c:v>0,03%</c:v>
                  </c:pt>
                  <c:pt idx="8">
                    <c:v>0,04%</c:v>
                  </c:pt>
                  <c:pt idx="9">
                    <c:v>0,01%</c:v>
                  </c:pt>
                  <c:pt idx="10">
                    <c:v>4%</c:v>
                  </c:pt>
                  <c:pt idx="11">
                    <c:v>9%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8852880"/>
        <c:axId val="1088863216"/>
      </c:barChart>
      <c:catAx>
        <c:axId val="1088852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63216"/>
        <c:crosses val="autoZero"/>
        <c:auto val="1"/>
        <c:lblAlgn val="ctr"/>
        <c:lblOffset val="100"/>
        <c:noMultiLvlLbl val="0"/>
      </c:catAx>
      <c:valAx>
        <c:axId val="108886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 (ha)</a:t>
                </a:r>
              </a:p>
            </c:rich>
          </c:tx>
          <c:layout>
            <c:manualLayout>
              <c:xMode val="edge"/>
              <c:yMode val="edge"/>
              <c:x val="0.50107571612284851"/>
              <c:y val="0.901621503972140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AVELLANO (regadío): </a:t>
            </a:r>
            <a:r>
              <a:rPr lang="es-ES">
                <a:solidFill>
                  <a:schemeClr val="tx1"/>
                </a:solidFill>
              </a:rPr>
              <a:t>Superficie plantada según tipo de variedades (ha)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'AVE-VAR'!$P$56:$R$56</c:f>
              <c:strCache>
                <c:ptCount val="1"/>
                <c:pt idx="0">
                  <c:v>AVELLANO REGADÍO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1014E35-DC07-47AA-BE41-C65C9CBFE94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114A9F0-99EB-4B7E-8989-3B83E91101C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DFD08EF-7F1D-42B3-A2FB-9C45A92035F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311253D-1D0D-4799-BC03-4DA3125F51B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86322D6-C4C5-4E3A-AFBD-572D7A23A10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267838C-B603-43BD-9941-4104EFEB67D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F1D54D2-34A0-4DA9-90B3-C973270E2E3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DE8FB6-D0AE-4E13-929D-B8BAC110EDC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9898701-7EBD-486B-8E66-E592E0F7BEB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F365218-BD03-4325-8260-DE4B03DB904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'AVE-VAR'!$P$57:$P$66</c:f>
              <c:strCache>
                <c:ptCount val="10"/>
                <c:pt idx="0">
                  <c:v>NEGRET</c:v>
                </c:pt>
                <c:pt idx="1">
                  <c:v>PAUETET</c:v>
                </c:pt>
                <c:pt idx="2">
                  <c:v>SAN GIOVANNI</c:v>
                </c:pt>
                <c:pt idx="3">
                  <c:v>TONDA DI GIFFONI</c:v>
                </c:pt>
                <c:pt idx="4">
                  <c:v>TONDA GENTILE ROMANA</c:v>
                </c:pt>
                <c:pt idx="5">
                  <c:v>NEGRETTA</c:v>
                </c:pt>
                <c:pt idx="6">
                  <c:v>CASTANYERA</c:v>
                </c:pt>
                <c:pt idx="7">
                  <c:v>BUTLER</c:v>
                </c:pt>
                <c:pt idx="8">
                  <c:v>ENNIS</c:v>
                </c:pt>
                <c:pt idx="9">
                  <c:v>BARCELONA</c:v>
                </c:pt>
              </c:strCache>
            </c:strRef>
          </c:cat>
          <c:val>
            <c:numRef>
              <c:f>'AVE-VAR'!$Q$57:$Q$66</c:f>
              <c:numCache>
                <c:formatCode>#,##0</c:formatCode>
                <c:ptCount val="10"/>
                <c:pt idx="0">
                  <c:v>3071.7099999999996</c:v>
                </c:pt>
                <c:pt idx="1">
                  <c:v>2015.8299999999995</c:v>
                </c:pt>
                <c:pt idx="2">
                  <c:v>718.87</c:v>
                </c:pt>
                <c:pt idx="3">
                  <c:v>605.87000000000012</c:v>
                </c:pt>
                <c:pt idx="4">
                  <c:v>40.549999999999997</c:v>
                </c:pt>
                <c:pt idx="5">
                  <c:v>10.02</c:v>
                </c:pt>
                <c:pt idx="6">
                  <c:v>8.73</c:v>
                </c:pt>
                <c:pt idx="7">
                  <c:v>0.78</c:v>
                </c:pt>
                <c:pt idx="8">
                  <c:v>1.1299999999999999</c:v>
                </c:pt>
                <c:pt idx="9">
                  <c:v>0.83000000000000007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24E-4DF6-81D4-A7A36553E28D}"/>
            </c:ext>
            <c:ext xmlns:c15="http://schemas.microsoft.com/office/drawing/2012/chart" uri="{02D57815-91ED-43cb-92C2-25804820EDAC}">
              <c15:datalabelsRange>
                <c15:f>'AVE-VAR'!$R$57:$R$66</c15:f>
                <c15:dlblRangeCache>
                  <c:ptCount val="10"/>
                  <c:pt idx="0">
                    <c:v>44%</c:v>
                  </c:pt>
                  <c:pt idx="1">
                    <c:v>29%</c:v>
                  </c:pt>
                  <c:pt idx="2">
                    <c:v>10%</c:v>
                  </c:pt>
                  <c:pt idx="3">
                    <c:v>9%</c:v>
                  </c:pt>
                  <c:pt idx="4">
                    <c:v>0,6%</c:v>
                  </c:pt>
                  <c:pt idx="5">
                    <c:v>0,1%</c:v>
                  </c:pt>
                  <c:pt idx="6">
                    <c:v>0,1%</c:v>
                  </c:pt>
                  <c:pt idx="7">
                    <c:v>0,0%</c:v>
                  </c:pt>
                  <c:pt idx="8">
                    <c:v>0,0%</c:v>
                  </c:pt>
                  <c:pt idx="9">
                    <c:v>0,0%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8853424"/>
        <c:axId val="1088853968"/>
      </c:barChart>
      <c:catAx>
        <c:axId val="108885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3968"/>
        <c:crosses val="autoZero"/>
        <c:auto val="1"/>
        <c:lblAlgn val="ctr"/>
        <c:lblOffset val="100"/>
        <c:noMultiLvlLbl val="0"/>
      </c:catAx>
      <c:valAx>
        <c:axId val="1088853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ALGARROBO (secano): </a:t>
            </a:r>
            <a:r>
              <a:rPr lang="es-ES">
                <a:solidFill>
                  <a:schemeClr val="tx1"/>
                </a:solidFill>
              </a:rPr>
              <a:t>Superficie plantada según tipo</a:t>
            </a:r>
            <a:r>
              <a:rPr lang="es-ES" baseline="0">
                <a:solidFill>
                  <a:schemeClr val="tx1"/>
                </a:solidFill>
              </a:rPr>
              <a:t> de variedades (ha)</a:t>
            </a:r>
            <a:endParaRPr lang="es-E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36111111111111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'ALG-VAR'!$P$5:$R$5</c:f>
              <c:strCache>
                <c:ptCount val="1"/>
                <c:pt idx="0">
                  <c:v>ALGARROBO SECANO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396C614-A162-49C6-B23D-AB0D0FFDFCB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2045958-0A1E-48E4-8BB7-FD7E5CAADB2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9BCF248-B2DE-4B38-9AA6-570F2280635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9D15DFE-E8F8-4A53-AB02-F869AE0370E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634AD25-E284-49DA-81A0-29D5FD9FF88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6141C318-17EC-43F0-BE3B-EA4B53CB028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6624729-78F8-4D00-9FB0-62DA5D0ADFA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7EEBF79E-0A41-4776-AAB4-E9821A1EE56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F89C2B64-16FF-4F30-B0EA-986C4D8EDDE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CD7714C-C539-4A3D-96EC-7A3F757CE30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'ALG-VAR'!$P$6:$P$15</c:f>
              <c:strCache>
                <c:ptCount val="10"/>
                <c:pt idx="0">
                  <c:v>MATALAFERA</c:v>
                </c:pt>
                <c:pt idx="1">
                  <c:v>NEGRA</c:v>
                </c:pt>
                <c:pt idx="2">
                  <c:v>BANYA DE CABRA</c:v>
                </c:pt>
                <c:pt idx="3">
                  <c:v>RAMILLETE</c:v>
                </c:pt>
                <c:pt idx="4">
                  <c:v>MELERA</c:v>
                </c:pt>
                <c:pt idx="5">
                  <c:v>CASTELLANA</c:v>
                </c:pt>
                <c:pt idx="6">
                  <c:v>BRAVÍA</c:v>
                </c:pt>
                <c:pt idx="7">
                  <c:v>COSTILLA DE ASNO</c:v>
                </c:pt>
                <c:pt idx="8">
                  <c:v>CACHES</c:v>
                </c:pt>
                <c:pt idx="9">
                  <c:v>CASUDA</c:v>
                </c:pt>
              </c:strCache>
            </c:strRef>
          </c:cat>
          <c:val>
            <c:numRef>
              <c:f>'ALG-VAR'!$Q$6:$Q$15</c:f>
              <c:numCache>
                <c:formatCode>#,##0</c:formatCode>
                <c:ptCount val="10"/>
                <c:pt idx="0">
                  <c:v>1595.8300000000002</c:v>
                </c:pt>
                <c:pt idx="1">
                  <c:v>738.55</c:v>
                </c:pt>
                <c:pt idx="2">
                  <c:v>340.99</c:v>
                </c:pt>
                <c:pt idx="3">
                  <c:v>331.7</c:v>
                </c:pt>
                <c:pt idx="4">
                  <c:v>208.15000000000003</c:v>
                </c:pt>
                <c:pt idx="5">
                  <c:v>61.55</c:v>
                </c:pt>
                <c:pt idx="6">
                  <c:v>33.050000000000004</c:v>
                </c:pt>
                <c:pt idx="7">
                  <c:v>29.150000000000002</c:v>
                </c:pt>
                <c:pt idx="8">
                  <c:v>27.929999999999996</c:v>
                </c:pt>
                <c:pt idx="9">
                  <c:v>17.399999999999999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772-4852-8918-882F69609EAF}"/>
            </c:ext>
            <c:ext xmlns:c15="http://schemas.microsoft.com/office/drawing/2012/chart" uri="{02D57815-91ED-43cb-92C2-25804820EDAC}">
              <c15:datalabelsRange>
                <c15:f>'ALG-VAR'!$R$6:$R$15</c15:f>
                <c15:dlblRangeCache>
                  <c:ptCount val="10"/>
                  <c:pt idx="0">
                    <c:v>11%</c:v>
                  </c:pt>
                  <c:pt idx="1">
                    <c:v>5%</c:v>
                  </c:pt>
                  <c:pt idx="2">
                    <c:v>2%</c:v>
                  </c:pt>
                  <c:pt idx="3">
                    <c:v>2%</c:v>
                  </c:pt>
                  <c:pt idx="4">
                    <c:v>1,45%</c:v>
                  </c:pt>
                  <c:pt idx="5">
                    <c:v>0,4%</c:v>
                  </c:pt>
                  <c:pt idx="6">
                    <c:v>0,2%</c:v>
                  </c:pt>
                  <c:pt idx="7">
                    <c:v>0,2%</c:v>
                  </c:pt>
                  <c:pt idx="8">
                    <c:v>0,2%</c:v>
                  </c:pt>
                  <c:pt idx="9">
                    <c:v>0,1%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8854512"/>
        <c:axId val="1089092272"/>
      </c:barChart>
      <c:catAx>
        <c:axId val="1088854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92272"/>
        <c:crosses val="autoZero"/>
        <c:auto val="1"/>
        <c:lblAlgn val="ctr"/>
        <c:lblOffset val="100"/>
        <c:noMultiLvlLbl val="0"/>
      </c:catAx>
      <c:valAx>
        <c:axId val="1089092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885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tx1"/>
                </a:solidFill>
              </a:rPr>
              <a:t>ALGARROBO (regadío): </a:t>
            </a:r>
            <a:r>
              <a:rPr lang="es-ES">
                <a:solidFill>
                  <a:schemeClr val="tx1"/>
                </a:solidFill>
              </a:rPr>
              <a:t>Superficie plantada según tipo de</a:t>
            </a:r>
            <a:r>
              <a:rPr lang="es-ES" baseline="0">
                <a:solidFill>
                  <a:schemeClr val="tx1"/>
                </a:solidFill>
              </a:rPr>
              <a:t> variedades (ha)</a:t>
            </a:r>
            <a:endParaRPr lang="es-ES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'ALG-VAR'!$P$36:$R$36</c:f>
              <c:strCache>
                <c:ptCount val="1"/>
                <c:pt idx="0">
                  <c:v>ALGARROBOBO REGADÍO</c:v>
                </c:pt>
              </c:strCache>
            </c:strRef>
          </c:tx>
          <c:spPr>
            <a:solidFill>
              <a:srgbClr val="15B70D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8DFBFF11-2F5F-46B2-BD77-93E8EE9FD34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CB8E918-A8EF-46C7-A36C-9F9C6072195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BD3051D4-6CC8-4BBF-BB08-1710A566129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BDD47CE-F45C-4C7B-A742-695941F65D2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450C62AB-4036-4BF2-81BC-3A1272F9AB3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7D22374-857F-4BEE-8DC4-BDE965F4389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A2A49273-6CE3-4231-842C-0B4189F02C8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5A324E7C-755A-4F5A-AB93-7D33494284B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50C96E8-5EC6-4FE5-9679-76C61A4411A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0BA068FF-97A5-4EC9-AA57-478CB5BFC83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'ALG-VAR'!$P$37:$P$46</c:f>
              <c:strCache>
                <c:ptCount val="10"/>
                <c:pt idx="0">
                  <c:v>RAMILLETE</c:v>
                </c:pt>
                <c:pt idx="1">
                  <c:v>MATALAFERA</c:v>
                </c:pt>
                <c:pt idx="2">
                  <c:v>NEGRA</c:v>
                </c:pt>
                <c:pt idx="3">
                  <c:v>BANYA DE CABRA</c:v>
                </c:pt>
                <c:pt idx="4">
                  <c:v>DURAIO</c:v>
                </c:pt>
                <c:pt idx="5">
                  <c:v>MELERA</c:v>
                </c:pt>
                <c:pt idx="6">
                  <c:v>RALLADORA</c:v>
                </c:pt>
                <c:pt idx="7">
                  <c:v>BUGADERA</c:v>
                </c:pt>
                <c:pt idx="8">
                  <c:v>CACHES</c:v>
                </c:pt>
                <c:pt idx="9">
                  <c:v>COSTILLA DE ASNO</c:v>
                </c:pt>
              </c:strCache>
            </c:strRef>
          </c:cat>
          <c:val>
            <c:numRef>
              <c:f>'ALG-VAR'!$Q$37:$Q$46</c:f>
              <c:numCache>
                <c:formatCode>#,##0</c:formatCode>
                <c:ptCount val="10"/>
                <c:pt idx="0">
                  <c:v>35.5</c:v>
                </c:pt>
                <c:pt idx="1">
                  <c:v>32.729999999999997</c:v>
                </c:pt>
                <c:pt idx="2">
                  <c:v>20.25</c:v>
                </c:pt>
                <c:pt idx="3">
                  <c:v>2.96</c:v>
                </c:pt>
                <c:pt idx="4">
                  <c:v>5.9300000000000006</c:v>
                </c:pt>
                <c:pt idx="5">
                  <c:v>3.7900000000000005</c:v>
                </c:pt>
                <c:pt idx="6">
                  <c:v>0.89</c:v>
                </c:pt>
                <c:pt idx="7">
                  <c:v>0.48</c:v>
                </c:pt>
                <c:pt idx="8">
                  <c:v>0.31</c:v>
                </c:pt>
                <c:pt idx="9">
                  <c:v>0.79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427-482C-82C2-2225BDE42BF4}"/>
            </c:ext>
            <c:ext xmlns:c15="http://schemas.microsoft.com/office/drawing/2012/chart" uri="{02D57815-91ED-43cb-92C2-25804820EDAC}">
              <c15:datalabelsRange>
                <c15:f>'ALG-VAR'!$R$37:$R$46</c15:f>
                <c15:dlblRangeCache>
                  <c:ptCount val="10"/>
                  <c:pt idx="0">
                    <c:v>5%</c:v>
                  </c:pt>
                  <c:pt idx="1">
                    <c:v>5%</c:v>
                  </c:pt>
                  <c:pt idx="2">
                    <c:v>3%</c:v>
                  </c:pt>
                  <c:pt idx="3">
                    <c:v>0,4%</c:v>
                  </c:pt>
                  <c:pt idx="4">
                    <c:v>0,8%</c:v>
                  </c:pt>
                  <c:pt idx="5">
                    <c:v>0,5%</c:v>
                  </c:pt>
                  <c:pt idx="6">
                    <c:v>0,1%</c:v>
                  </c:pt>
                  <c:pt idx="7">
                    <c:v>0,1%</c:v>
                  </c:pt>
                  <c:pt idx="8">
                    <c:v>0,0%</c:v>
                  </c:pt>
                  <c:pt idx="9">
                    <c:v>0,1%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9082480"/>
        <c:axId val="1089094448"/>
      </c:barChart>
      <c:catAx>
        <c:axId val="1089082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94448"/>
        <c:crosses val="autoZero"/>
        <c:auto val="1"/>
        <c:lblAlgn val="ctr"/>
        <c:lblOffset val="100"/>
        <c:noMultiLvlLbl val="0"/>
      </c:catAx>
      <c:valAx>
        <c:axId val="1089094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Superficie</a:t>
                </a:r>
                <a:r>
                  <a:rPr lang="es-ES" b="1" baseline="0">
                    <a:solidFill>
                      <a:schemeClr val="tx1"/>
                    </a:solidFill>
                  </a:rPr>
                  <a:t> (ha)</a:t>
                </a:r>
                <a:endParaRPr lang="es-ES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4434116825029254"/>
              <c:y val="0.919461739115969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8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ALMENDRA: Secano </a:t>
            </a:r>
          </a:p>
          <a:p>
            <a:pPr>
              <a:defRPr/>
            </a:pPr>
            <a:r>
              <a:rPr lang="en-US"/>
              <a:t>Plantaciones</a:t>
            </a:r>
            <a:r>
              <a:rPr lang="en-US" baseline="0"/>
              <a:t> en producción por variedad (&gt;2017)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6588781451178538E-2"/>
          <c:y val="0.21130220984690581"/>
          <c:w val="0.87952413928714934"/>
          <c:h val="0.54102897162660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'ALM-VAR-EDAD'!$A$3</c:f>
              <c:strCache>
                <c:ptCount val="1"/>
                <c:pt idx="0">
                  <c:v>ALMENDRA: Secano</c:v>
                </c:pt>
              </c:strCache>
            </c:strRef>
          </c:tx>
          <c:spPr>
            <a:solidFill>
              <a:srgbClr val="D7AE8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3B73535-99C6-4107-9DCB-6FBCE7E84D5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DC7FDDB-5522-482B-8BC1-C1E2AD5A93E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BD28A22-98CB-431E-864C-0F470021BA8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8BEA180-E795-4D14-B0DE-B48B937EC78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405A245E-E39B-488E-9096-407E7C3587E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520BDAC-E85A-43B1-A26F-19D91CA708F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EA1B54D7-FF68-4D2B-8601-C58FB075C44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1AD8176C-FABD-435B-BFA6-5FD4E59AE08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44B298F2-6142-4B99-B241-D2670CABA4C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33A7AC4F-06E5-41B7-B216-0ADC1FC839D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'ALM-VAR-EDAD'!$A$6:$A$15</c:f>
              <c:strCache>
                <c:ptCount val="10"/>
                <c:pt idx="0">
                  <c:v>GUARA</c:v>
                </c:pt>
                <c:pt idx="1">
                  <c:v>COMUNA</c:v>
                </c:pt>
                <c:pt idx="2">
                  <c:v>LARGUETA</c:v>
                </c:pt>
                <c:pt idx="3">
                  <c:v>MARCONA</c:v>
                </c:pt>
                <c:pt idx="4">
                  <c:v>FERRAGNES</c:v>
                </c:pt>
                <c:pt idx="5">
                  <c:v>LAURANNE</c:v>
                </c:pt>
                <c:pt idx="6">
                  <c:v>VAIRO</c:v>
                </c:pt>
                <c:pt idx="7">
                  <c:v>FERRADUEL</c:v>
                </c:pt>
                <c:pt idx="8">
                  <c:v>DESMAYO ROJO</c:v>
                </c:pt>
                <c:pt idx="9">
                  <c:v>ANTOÑETA</c:v>
                </c:pt>
              </c:strCache>
            </c:strRef>
          </c:cat>
          <c:val>
            <c:numRef>
              <c:f>'ALM-VAR-EDAD'!$B$6:$B$15</c:f>
              <c:numCache>
                <c:formatCode>#,##0</c:formatCode>
                <c:ptCount val="10"/>
                <c:pt idx="0">
                  <c:v>107745.71</c:v>
                </c:pt>
                <c:pt idx="1">
                  <c:v>76672.589999999895</c:v>
                </c:pt>
                <c:pt idx="2">
                  <c:v>53013.980000000091</c:v>
                </c:pt>
                <c:pt idx="3">
                  <c:v>37701.450000000026</c:v>
                </c:pt>
                <c:pt idx="4">
                  <c:v>17114.469999999987</c:v>
                </c:pt>
                <c:pt idx="5">
                  <c:v>11655.150000000009</c:v>
                </c:pt>
                <c:pt idx="6">
                  <c:v>9163.5500000000029</c:v>
                </c:pt>
                <c:pt idx="7">
                  <c:v>8952.0799999999945</c:v>
                </c:pt>
                <c:pt idx="8">
                  <c:v>8075.1200000000017</c:v>
                </c:pt>
                <c:pt idx="9">
                  <c:v>3568.2799999999997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'ALM-VAR-EDAD'!$C$6:$C$23</c15:f>
                <c15:dlblRangeCache>
                  <c:ptCount val="18"/>
                  <c:pt idx="0">
                    <c:v>27%</c:v>
                  </c:pt>
                  <c:pt idx="1">
                    <c:v>19%</c:v>
                  </c:pt>
                  <c:pt idx="2">
                    <c:v>13%</c:v>
                  </c:pt>
                  <c:pt idx="3">
                    <c:v>9%</c:v>
                  </c:pt>
                  <c:pt idx="4">
                    <c:v>4%</c:v>
                  </c:pt>
                  <c:pt idx="5">
                    <c:v>3%</c:v>
                  </c:pt>
                  <c:pt idx="6">
                    <c:v>2%</c:v>
                  </c:pt>
                  <c:pt idx="7">
                    <c:v>2%</c:v>
                  </c:pt>
                  <c:pt idx="8">
                    <c:v>2%</c:v>
                  </c:pt>
                  <c:pt idx="9">
                    <c:v>1%</c:v>
                  </c:pt>
                  <c:pt idx="10">
                    <c:v>1%</c:v>
                  </c:pt>
                  <c:pt idx="11">
                    <c:v>1%</c:v>
                  </c:pt>
                  <c:pt idx="12">
                    <c:v>1%</c:v>
                  </c:pt>
                  <c:pt idx="13">
                    <c:v>1%</c:v>
                  </c:pt>
                  <c:pt idx="14">
                    <c:v>1%</c:v>
                  </c:pt>
                  <c:pt idx="15">
                    <c:v>1%</c:v>
                  </c:pt>
                  <c:pt idx="16">
                    <c:v>0%</c:v>
                  </c:pt>
                  <c:pt idx="17">
                    <c:v>0%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1089081936"/>
        <c:axId val="1089076496"/>
      </c:barChart>
      <c:catAx>
        <c:axId val="108908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76496"/>
        <c:crosses val="autoZero"/>
        <c:auto val="1"/>
        <c:lblAlgn val="ctr"/>
        <c:lblOffset val="100"/>
        <c:noMultiLvlLbl val="0"/>
      </c:catAx>
      <c:valAx>
        <c:axId val="108907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908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9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4" Type="http://schemas.openxmlformats.org/officeDocument/2006/relationships/chart" Target="../charts/chart7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4" Type="http://schemas.openxmlformats.org/officeDocument/2006/relationships/chart" Target="../charts/chart10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4" Type="http://schemas.openxmlformats.org/officeDocument/2006/relationships/chart" Target="../charts/chart10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1071562</xdr:colOff>
      <xdr:row>82</xdr:row>
      <xdr:rowOff>109537</xdr:rowOff>
    </xdr:from>
    <xdr:to>
      <xdr:col>17</xdr:col>
      <xdr:colOff>100012</xdr:colOff>
      <xdr:row>96</xdr:row>
      <xdr:rowOff>185737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123825</xdr:colOff>
      <xdr:row>154</xdr:row>
      <xdr:rowOff>166687</xdr:rowOff>
    </xdr:from>
    <xdr:to>
      <xdr:col>15</xdr:col>
      <xdr:colOff>885825</xdr:colOff>
      <xdr:row>169</xdr:row>
      <xdr:rowOff>52387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1038224</xdr:colOff>
      <xdr:row>99</xdr:row>
      <xdr:rowOff>30162</xdr:rowOff>
    </xdr:from>
    <xdr:to>
      <xdr:col>17</xdr:col>
      <xdr:colOff>622299</xdr:colOff>
      <xdr:row>116</xdr:row>
      <xdr:rowOff>44450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180975</xdr:colOff>
      <xdr:row>170</xdr:row>
      <xdr:rowOff>23812</xdr:rowOff>
    </xdr:from>
    <xdr:to>
      <xdr:col>15</xdr:col>
      <xdr:colOff>942975</xdr:colOff>
      <xdr:row>184</xdr:row>
      <xdr:rowOff>100012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749300</xdr:colOff>
      <xdr:row>82</xdr:row>
      <xdr:rowOff>71437</xdr:rowOff>
    </xdr:from>
    <xdr:to>
      <xdr:col>23</xdr:col>
      <xdr:colOff>34925</xdr:colOff>
      <xdr:row>96</xdr:row>
      <xdr:rowOff>141287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323850</xdr:colOff>
      <xdr:row>155</xdr:row>
      <xdr:rowOff>23812</xdr:rowOff>
    </xdr:from>
    <xdr:to>
      <xdr:col>22</xdr:col>
      <xdr:colOff>723900</xdr:colOff>
      <xdr:row>169</xdr:row>
      <xdr:rowOff>100012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247650</xdr:colOff>
      <xdr:row>84</xdr:row>
      <xdr:rowOff>14287</xdr:rowOff>
    </xdr:from>
    <xdr:to>
      <xdr:col>29</xdr:col>
      <xdr:colOff>666750</xdr:colOff>
      <xdr:row>98</xdr:row>
      <xdr:rowOff>90487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13</xdr:row>
      <xdr:rowOff>190499</xdr:rowOff>
    </xdr:from>
    <xdr:to>
      <xdr:col>16</xdr:col>
      <xdr:colOff>238125</xdr:colOff>
      <xdr:row>28</xdr:row>
      <xdr:rowOff>85724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</xdr:colOff>
      <xdr:row>13</xdr:row>
      <xdr:rowOff>152400</xdr:rowOff>
    </xdr:from>
    <xdr:to>
      <xdr:col>23</xdr:col>
      <xdr:colOff>31751</xdr:colOff>
      <xdr:row>28</xdr:row>
      <xdr:rowOff>69850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339724</xdr:colOff>
      <xdr:row>13</xdr:row>
      <xdr:rowOff>123824</xdr:rowOff>
    </xdr:from>
    <xdr:to>
      <xdr:col>29</xdr:col>
      <xdr:colOff>393699</xdr:colOff>
      <xdr:row>29</xdr:row>
      <xdr:rowOff>139699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3174</xdr:colOff>
      <xdr:row>31</xdr:row>
      <xdr:rowOff>0</xdr:rowOff>
    </xdr:from>
    <xdr:to>
      <xdr:col>24</xdr:col>
      <xdr:colOff>387350</xdr:colOff>
      <xdr:row>51</xdr:row>
      <xdr:rowOff>152400</xdr:rowOff>
    </xdr:to>
    <xdr:graphicFrame macro="">
      <xdr:nvGraphicFramePr>
        <xdr:cNvPr id="18" name="Gráfico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118</xdr:row>
      <xdr:rowOff>0</xdr:rowOff>
    </xdr:from>
    <xdr:to>
      <xdr:col>24</xdr:col>
      <xdr:colOff>384176</xdr:colOff>
      <xdr:row>138</xdr:row>
      <xdr:rowOff>152400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</xdr:col>
      <xdr:colOff>0</xdr:colOff>
      <xdr:row>14</xdr:row>
      <xdr:rowOff>0</xdr:rowOff>
    </xdr:from>
    <xdr:to>
      <xdr:col>37</xdr:col>
      <xdr:colOff>396875</xdr:colOff>
      <xdr:row>30</xdr:row>
      <xdr:rowOff>15875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15344</xdr:colOff>
      <xdr:row>3</xdr:row>
      <xdr:rowOff>36510</xdr:rowOff>
    </xdr:from>
    <xdr:to>
      <xdr:col>42</xdr:col>
      <xdr:colOff>201083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646111</xdr:colOff>
      <xdr:row>57</xdr:row>
      <xdr:rowOff>104245</xdr:rowOff>
    </xdr:from>
    <xdr:to>
      <xdr:col>30</xdr:col>
      <xdr:colOff>445028</xdr:colOff>
      <xdr:row>71</xdr:row>
      <xdr:rowOff>170920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599545</xdr:colOff>
      <xdr:row>126</xdr:row>
      <xdr:rowOff>52387</xdr:rowOff>
    </xdr:from>
    <xdr:to>
      <xdr:col>29</xdr:col>
      <xdr:colOff>742420</xdr:colOff>
      <xdr:row>140</xdr:row>
      <xdr:rowOff>119062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10584</xdr:colOff>
      <xdr:row>75</xdr:row>
      <xdr:rowOff>31751</xdr:rowOff>
    </xdr:from>
    <xdr:to>
      <xdr:col>42</xdr:col>
      <xdr:colOff>450323</xdr:colOff>
      <xdr:row>91</xdr:row>
      <xdr:rowOff>16406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242359</xdr:colOff>
      <xdr:row>19</xdr:row>
      <xdr:rowOff>66676</xdr:rowOff>
    </xdr:from>
    <xdr:to>
      <xdr:col>46</xdr:col>
      <xdr:colOff>73025</xdr:colOff>
      <xdr:row>38</xdr:row>
      <xdr:rowOff>87842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135467</xdr:colOff>
      <xdr:row>11</xdr:row>
      <xdr:rowOff>143932</xdr:rowOff>
    </xdr:from>
    <xdr:to>
      <xdr:col>53</xdr:col>
      <xdr:colOff>516467</xdr:colOff>
      <xdr:row>27</xdr:row>
      <xdr:rowOff>165099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497415</xdr:colOff>
      <xdr:row>85</xdr:row>
      <xdr:rowOff>137584</xdr:rowOff>
    </xdr:from>
    <xdr:to>
      <xdr:col>49</xdr:col>
      <xdr:colOff>497415</xdr:colOff>
      <xdr:row>101</xdr:row>
      <xdr:rowOff>95251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21167</xdr:colOff>
      <xdr:row>39</xdr:row>
      <xdr:rowOff>0</xdr:rowOff>
    </xdr:from>
    <xdr:to>
      <xdr:col>42</xdr:col>
      <xdr:colOff>206906</xdr:colOff>
      <xdr:row>58</xdr:row>
      <xdr:rowOff>12174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0</xdr:colOff>
      <xdr:row>93</xdr:row>
      <xdr:rowOff>0</xdr:rowOff>
    </xdr:from>
    <xdr:to>
      <xdr:col>42</xdr:col>
      <xdr:colOff>439739</xdr:colOff>
      <xdr:row>112</xdr:row>
      <xdr:rowOff>32280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0.70501</cdr:x>
      <cdr:y>0.88235</cdr:y>
    </cdr:from>
    <cdr:to>
      <cdr:x>0.96346</cdr:x>
      <cdr:y>0.97269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308350" y="2667000"/>
          <a:ext cx="1212850" cy="27305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/>
            <a:t>% jóvenes/total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428625</xdr:colOff>
      <xdr:row>18</xdr:row>
      <xdr:rowOff>64291</xdr:rowOff>
    </xdr:from>
    <xdr:to>
      <xdr:col>41</xdr:col>
      <xdr:colOff>595312</xdr:colOff>
      <xdr:row>35</xdr:row>
      <xdr:rowOff>154779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423862</xdr:colOff>
      <xdr:row>42</xdr:row>
      <xdr:rowOff>33337</xdr:rowOff>
    </xdr:from>
    <xdr:to>
      <xdr:col>29</xdr:col>
      <xdr:colOff>642937</xdr:colOff>
      <xdr:row>57</xdr:row>
      <xdr:rowOff>100012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188115</xdr:colOff>
      <xdr:row>18</xdr:row>
      <xdr:rowOff>14285</xdr:rowOff>
    </xdr:from>
    <xdr:to>
      <xdr:col>51</xdr:col>
      <xdr:colOff>523875</xdr:colOff>
      <xdr:row>36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297657</xdr:colOff>
      <xdr:row>2</xdr:row>
      <xdr:rowOff>261938</xdr:rowOff>
    </xdr:from>
    <xdr:to>
      <xdr:col>54</xdr:col>
      <xdr:colOff>452437</xdr:colOff>
      <xdr:row>16</xdr:row>
      <xdr:rowOff>142875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2</xdr:row>
      <xdr:rowOff>0</xdr:rowOff>
    </xdr:from>
    <xdr:to>
      <xdr:col>41</xdr:col>
      <xdr:colOff>642937</xdr:colOff>
      <xdr:row>16</xdr:row>
      <xdr:rowOff>71437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714375</xdr:colOff>
      <xdr:row>19</xdr:row>
      <xdr:rowOff>109538</xdr:rowOff>
    </xdr:from>
    <xdr:to>
      <xdr:col>41</xdr:col>
      <xdr:colOff>485775</xdr:colOff>
      <xdr:row>37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542925</xdr:colOff>
      <xdr:row>52</xdr:row>
      <xdr:rowOff>171450</xdr:rowOff>
    </xdr:from>
    <xdr:to>
      <xdr:col>29</xdr:col>
      <xdr:colOff>676275</xdr:colOff>
      <xdr:row>67</xdr:row>
      <xdr:rowOff>47625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450059</xdr:colOff>
      <xdr:row>86</xdr:row>
      <xdr:rowOff>171449</xdr:rowOff>
    </xdr:from>
    <xdr:to>
      <xdr:col>42</xdr:col>
      <xdr:colOff>390525</xdr:colOff>
      <xdr:row>106</xdr:row>
      <xdr:rowOff>38100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85725</xdr:colOff>
      <xdr:row>10</xdr:row>
      <xdr:rowOff>9525</xdr:rowOff>
    </xdr:from>
    <xdr:to>
      <xdr:col>50</xdr:col>
      <xdr:colOff>742949</xdr:colOff>
      <xdr:row>26</xdr:row>
      <xdr:rowOff>152400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533400</xdr:colOff>
      <xdr:row>3</xdr:row>
      <xdr:rowOff>28575</xdr:rowOff>
    </xdr:from>
    <xdr:to>
      <xdr:col>41</xdr:col>
      <xdr:colOff>414337</xdr:colOff>
      <xdr:row>18</xdr:row>
      <xdr:rowOff>52387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285751</xdr:colOff>
      <xdr:row>70</xdr:row>
      <xdr:rowOff>76200</xdr:rowOff>
    </xdr:from>
    <xdr:to>
      <xdr:col>41</xdr:col>
      <xdr:colOff>581025</xdr:colOff>
      <xdr:row>84</xdr:row>
      <xdr:rowOff>104775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50</xdr:col>
      <xdr:colOff>657224</xdr:colOff>
      <xdr:row>94</xdr:row>
      <xdr:rowOff>142875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9526</xdr:colOff>
      <xdr:row>0</xdr:row>
      <xdr:rowOff>169069</xdr:rowOff>
    </xdr:from>
    <xdr:to>
      <xdr:col>48</xdr:col>
      <xdr:colOff>40481</xdr:colOff>
      <xdr:row>18</xdr:row>
      <xdr:rowOff>21431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209548</xdr:colOff>
      <xdr:row>27</xdr:row>
      <xdr:rowOff>66674</xdr:rowOff>
    </xdr:from>
    <xdr:to>
      <xdr:col>30</xdr:col>
      <xdr:colOff>166687</xdr:colOff>
      <xdr:row>41</xdr:row>
      <xdr:rowOff>59531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590550</xdr:colOff>
      <xdr:row>65</xdr:row>
      <xdr:rowOff>95250</xdr:rowOff>
    </xdr:from>
    <xdr:to>
      <xdr:col>29</xdr:col>
      <xdr:colOff>723900</xdr:colOff>
      <xdr:row>80</xdr:row>
      <xdr:rowOff>161925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404811</xdr:colOff>
      <xdr:row>41</xdr:row>
      <xdr:rowOff>226219</xdr:rowOff>
    </xdr:from>
    <xdr:to>
      <xdr:col>46</xdr:col>
      <xdr:colOff>745330</xdr:colOff>
      <xdr:row>52</xdr:row>
      <xdr:rowOff>92868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21430</xdr:colOff>
      <xdr:row>11</xdr:row>
      <xdr:rowOff>4762</xdr:rowOff>
    </xdr:from>
    <xdr:to>
      <xdr:col>39</xdr:col>
      <xdr:colOff>507205</xdr:colOff>
      <xdr:row>27</xdr:row>
      <xdr:rowOff>25929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676275</xdr:colOff>
      <xdr:row>18</xdr:row>
      <xdr:rowOff>142875</xdr:rowOff>
    </xdr:from>
    <xdr:to>
      <xdr:col>47</xdr:col>
      <xdr:colOff>707230</xdr:colOff>
      <xdr:row>36</xdr:row>
      <xdr:rowOff>52387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381000</xdr:colOff>
      <xdr:row>52</xdr:row>
      <xdr:rowOff>142875</xdr:rowOff>
    </xdr:from>
    <xdr:to>
      <xdr:col>46</xdr:col>
      <xdr:colOff>721519</xdr:colOff>
      <xdr:row>68</xdr:row>
      <xdr:rowOff>76199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333375</xdr:colOff>
      <xdr:row>50</xdr:row>
      <xdr:rowOff>114300</xdr:rowOff>
    </xdr:from>
    <xdr:to>
      <xdr:col>39</xdr:col>
      <xdr:colOff>133350</xdr:colOff>
      <xdr:row>67</xdr:row>
      <xdr:rowOff>180975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759616</xdr:colOff>
      <xdr:row>2</xdr:row>
      <xdr:rowOff>16670</xdr:rowOff>
    </xdr:from>
    <xdr:to>
      <xdr:col>42</xdr:col>
      <xdr:colOff>357187</xdr:colOff>
      <xdr:row>18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771525</xdr:colOff>
      <xdr:row>69</xdr:row>
      <xdr:rowOff>142875</xdr:rowOff>
    </xdr:from>
    <xdr:to>
      <xdr:col>31</xdr:col>
      <xdr:colOff>333375</xdr:colOff>
      <xdr:row>88</xdr:row>
      <xdr:rowOff>59531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738186</xdr:colOff>
      <xdr:row>9</xdr:row>
      <xdr:rowOff>178594</xdr:rowOff>
    </xdr:from>
    <xdr:to>
      <xdr:col>49</xdr:col>
      <xdr:colOff>259555</xdr:colOff>
      <xdr:row>26</xdr:row>
      <xdr:rowOff>154782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726281</xdr:colOff>
      <xdr:row>19</xdr:row>
      <xdr:rowOff>0</xdr:rowOff>
    </xdr:from>
    <xdr:to>
      <xdr:col>42</xdr:col>
      <xdr:colOff>323852</xdr:colOff>
      <xdr:row>36</xdr:row>
      <xdr:rowOff>173831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676274</xdr:colOff>
      <xdr:row>42</xdr:row>
      <xdr:rowOff>19049</xdr:rowOff>
    </xdr:from>
    <xdr:to>
      <xdr:col>15</xdr:col>
      <xdr:colOff>19050</xdr:colOff>
      <xdr:row>60</xdr:row>
      <xdr:rowOff>85724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333375</xdr:colOff>
      <xdr:row>41</xdr:row>
      <xdr:rowOff>133349</xdr:rowOff>
    </xdr:from>
    <xdr:to>
      <xdr:col>29</xdr:col>
      <xdr:colOff>28575</xdr:colOff>
      <xdr:row>57</xdr:row>
      <xdr:rowOff>142874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104774</xdr:colOff>
      <xdr:row>43</xdr:row>
      <xdr:rowOff>14286</xdr:rowOff>
    </xdr:from>
    <xdr:to>
      <xdr:col>12</xdr:col>
      <xdr:colOff>552450</xdr:colOff>
      <xdr:row>58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371474</xdr:colOff>
      <xdr:row>42</xdr:row>
      <xdr:rowOff>147636</xdr:rowOff>
    </xdr:from>
    <xdr:to>
      <xdr:col>12</xdr:col>
      <xdr:colOff>533400</xdr:colOff>
      <xdr:row>58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185736</xdr:colOff>
      <xdr:row>41</xdr:row>
      <xdr:rowOff>166687</xdr:rowOff>
    </xdr:from>
    <xdr:to>
      <xdr:col>12</xdr:col>
      <xdr:colOff>457199</xdr:colOff>
      <xdr:row>57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769619</xdr:colOff>
      <xdr:row>13</xdr:row>
      <xdr:rowOff>15239</xdr:rowOff>
    </xdr:from>
    <xdr:to>
      <xdr:col>18</xdr:col>
      <xdr:colOff>636494</xdr:colOff>
      <xdr:row>31</xdr:row>
      <xdr:rowOff>116540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663388</xdr:colOff>
      <xdr:row>76</xdr:row>
      <xdr:rowOff>17930</xdr:rowOff>
    </xdr:from>
    <xdr:to>
      <xdr:col>18</xdr:col>
      <xdr:colOff>432995</xdr:colOff>
      <xdr:row>93</xdr:row>
      <xdr:rowOff>47513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1030940</xdr:colOff>
      <xdr:row>13</xdr:row>
      <xdr:rowOff>8964</xdr:rowOff>
    </xdr:from>
    <xdr:to>
      <xdr:col>26</xdr:col>
      <xdr:colOff>519953</xdr:colOff>
      <xdr:row>31</xdr:row>
      <xdr:rowOff>98611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76</xdr:row>
      <xdr:rowOff>0</xdr:rowOff>
    </xdr:from>
    <xdr:to>
      <xdr:col>26</xdr:col>
      <xdr:colOff>519955</xdr:colOff>
      <xdr:row>94</xdr:row>
      <xdr:rowOff>89647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42</xdr:row>
      <xdr:rowOff>119062</xdr:rowOff>
    </xdr:from>
    <xdr:to>
      <xdr:col>12</xdr:col>
      <xdr:colOff>314325</xdr:colOff>
      <xdr:row>58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657224</xdr:colOff>
      <xdr:row>42</xdr:row>
      <xdr:rowOff>176212</xdr:rowOff>
    </xdr:from>
    <xdr:to>
      <xdr:col>11</xdr:col>
      <xdr:colOff>514349</xdr:colOff>
      <xdr:row>57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357186</xdr:colOff>
      <xdr:row>2</xdr:row>
      <xdr:rowOff>147637</xdr:rowOff>
    </xdr:from>
    <xdr:to>
      <xdr:col>40</xdr:col>
      <xdr:colOff>704850</xdr:colOff>
      <xdr:row>22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385761</xdr:colOff>
      <xdr:row>3</xdr:row>
      <xdr:rowOff>23811</xdr:rowOff>
    </xdr:from>
    <xdr:to>
      <xdr:col>40</xdr:col>
      <xdr:colOff>304800</xdr:colOff>
      <xdr:row>20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204786</xdr:colOff>
      <xdr:row>3</xdr:row>
      <xdr:rowOff>4761</xdr:rowOff>
    </xdr:from>
    <xdr:to>
      <xdr:col>39</xdr:col>
      <xdr:colOff>590549</xdr:colOff>
      <xdr:row>20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300037</xdr:colOff>
      <xdr:row>2</xdr:row>
      <xdr:rowOff>185736</xdr:rowOff>
    </xdr:from>
    <xdr:to>
      <xdr:col>40</xdr:col>
      <xdr:colOff>238125</xdr:colOff>
      <xdr:row>20</xdr:row>
      <xdr:rowOff>161924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300036</xdr:colOff>
      <xdr:row>2</xdr:row>
      <xdr:rowOff>190499</xdr:rowOff>
    </xdr:from>
    <xdr:to>
      <xdr:col>39</xdr:col>
      <xdr:colOff>761999</xdr:colOff>
      <xdr:row>20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223836</xdr:colOff>
      <xdr:row>3</xdr:row>
      <xdr:rowOff>4762</xdr:rowOff>
    </xdr:from>
    <xdr:to>
      <xdr:col>40</xdr:col>
      <xdr:colOff>66675</xdr:colOff>
      <xdr:row>20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709610</xdr:colOff>
      <xdr:row>21</xdr:row>
      <xdr:rowOff>90486</xdr:rowOff>
    </xdr:from>
    <xdr:to>
      <xdr:col>22</xdr:col>
      <xdr:colOff>704849</xdr:colOff>
      <xdr:row>39</xdr:row>
      <xdr:rowOff>171449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761999</xdr:colOff>
      <xdr:row>80</xdr:row>
      <xdr:rowOff>176211</xdr:rowOff>
    </xdr:from>
    <xdr:to>
      <xdr:col>23</xdr:col>
      <xdr:colOff>123825</xdr:colOff>
      <xdr:row>99</xdr:row>
      <xdr:rowOff>104775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0.49469</cdr:x>
      <cdr:y>0.37042</cdr:y>
    </cdr:from>
    <cdr:to>
      <cdr:x>0.89534</cdr:x>
      <cdr:y>0.50068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2881315" y="1300164"/>
          <a:ext cx="2333626" cy="457200"/>
        </a:xfrm>
        <a:prstGeom xmlns:a="http://schemas.openxmlformats.org/drawingml/2006/main" prst="rect">
          <a:avLst/>
        </a:prstGeom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/>
            <a:t>SIN</a:t>
          </a:r>
          <a:r>
            <a:rPr lang="es-ES" sz="1100" baseline="0"/>
            <a:t> VARIEDAD: 38.252 ha (8%)</a:t>
          </a:r>
        </a:p>
        <a:p xmlns:a="http://schemas.openxmlformats.org/drawingml/2006/main">
          <a:r>
            <a:rPr lang="es-ES" sz="1100" baseline="0"/>
            <a:t>RESTO VARIEDADES: 55.172 ha (11%)</a:t>
          </a:r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13</xdr:row>
      <xdr:rowOff>128587</xdr:rowOff>
    </xdr:from>
    <xdr:to>
      <xdr:col>15</xdr:col>
      <xdr:colOff>533400</xdr:colOff>
      <xdr:row>28</xdr:row>
      <xdr:rowOff>14287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666749</xdr:colOff>
      <xdr:row>13</xdr:row>
      <xdr:rowOff>128587</xdr:rowOff>
    </xdr:from>
    <xdr:to>
      <xdr:col>22</xdr:col>
      <xdr:colOff>342900</xdr:colOff>
      <xdr:row>28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419100</xdr:colOff>
      <xdr:row>74</xdr:row>
      <xdr:rowOff>104775</xdr:rowOff>
    </xdr:from>
    <xdr:to>
      <xdr:col>16</xdr:col>
      <xdr:colOff>200025</xdr:colOff>
      <xdr:row>90</xdr:row>
      <xdr:rowOff>123824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314326</xdr:colOff>
      <xdr:row>74</xdr:row>
      <xdr:rowOff>133350</xdr:rowOff>
    </xdr:from>
    <xdr:to>
      <xdr:col>23</xdr:col>
      <xdr:colOff>514350</xdr:colOff>
      <xdr:row>90</xdr:row>
      <xdr:rowOff>19050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0.55093</cdr:x>
      <cdr:y>0.37673</cdr:y>
    </cdr:from>
    <cdr:to>
      <cdr:x>0.94293</cdr:x>
      <cdr:y>0.50559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279775" y="1336675"/>
          <a:ext cx="2333626" cy="457200"/>
        </a:xfrm>
        <a:prstGeom xmlns:a="http://schemas.openxmlformats.org/drawingml/2006/main" prst="rect">
          <a:avLst/>
        </a:prstGeom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SIN</a:t>
          </a:r>
          <a:r>
            <a:rPr lang="es-ES" sz="1100" baseline="0"/>
            <a:t> VARIEDAD: 7.774 ha (8%)</a:t>
          </a:r>
        </a:p>
        <a:p xmlns:a="http://schemas.openxmlformats.org/drawingml/2006/main">
          <a:r>
            <a:rPr lang="es-ES" sz="1100" baseline="0"/>
            <a:t>RESTO VARIEDADES: 14.925 ha (15%)</a:t>
          </a:r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690562</xdr:colOff>
      <xdr:row>23</xdr:row>
      <xdr:rowOff>100011</xdr:rowOff>
    </xdr:from>
    <xdr:to>
      <xdr:col>22</xdr:col>
      <xdr:colOff>0</xdr:colOff>
      <xdr:row>39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119062</xdr:colOff>
      <xdr:row>79</xdr:row>
      <xdr:rowOff>176211</xdr:rowOff>
    </xdr:from>
    <xdr:to>
      <xdr:col>20</xdr:col>
      <xdr:colOff>342900</xdr:colOff>
      <xdr:row>97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0.54802</cdr:x>
      <cdr:y>0.40907</cdr:y>
    </cdr:from>
    <cdr:to>
      <cdr:x>0.93908</cdr:x>
      <cdr:y>0.55744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270250" y="1260475"/>
          <a:ext cx="2333626" cy="457200"/>
        </a:xfrm>
        <a:prstGeom xmlns:a="http://schemas.openxmlformats.org/drawingml/2006/main" prst="rect">
          <a:avLst/>
        </a:prstGeom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SIN</a:t>
          </a:r>
          <a:r>
            <a:rPr lang="es-ES" sz="1100" baseline="0"/>
            <a:t> VARIEDAD: 9.628 ha (26%)</a:t>
          </a:r>
        </a:p>
        <a:p xmlns:a="http://schemas.openxmlformats.org/drawingml/2006/main">
          <a:r>
            <a:rPr lang="es-ES" sz="1100" baseline="0"/>
            <a:t>RESTO VARIEDADES: 3.973 ha (11%)</a:t>
          </a:r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0.53748</cdr:x>
      <cdr:y>0.40212</cdr:y>
    </cdr:from>
    <cdr:to>
      <cdr:x>0.97304</cdr:x>
      <cdr:y>0.54064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2879725" y="1327150"/>
          <a:ext cx="2333626" cy="457200"/>
        </a:xfrm>
        <a:prstGeom xmlns:a="http://schemas.openxmlformats.org/drawingml/2006/main" prst="rect">
          <a:avLst/>
        </a:prstGeom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SIN</a:t>
          </a:r>
          <a:r>
            <a:rPr lang="es-ES" sz="1100" baseline="0"/>
            <a:t> VARIEDAD: 2.587 ha (22%)</a:t>
          </a:r>
        </a:p>
        <a:p xmlns:a="http://schemas.openxmlformats.org/drawingml/2006/main">
          <a:r>
            <a:rPr lang="es-ES" sz="1100" baseline="0"/>
            <a:t>RESTO VARIEDADES: 1.183 ha (10%)</a:t>
          </a:r>
          <a:endParaRPr lang="es-ES" sz="1100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652461</xdr:colOff>
      <xdr:row>24</xdr:row>
      <xdr:rowOff>23811</xdr:rowOff>
    </xdr:from>
    <xdr:to>
      <xdr:col>22</xdr:col>
      <xdr:colOff>152400</xdr:colOff>
      <xdr:row>39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728662</xdr:colOff>
      <xdr:row>70</xdr:row>
      <xdr:rowOff>100011</xdr:rowOff>
    </xdr:from>
    <xdr:to>
      <xdr:col>20</xdr:col>
      <xdr:colOff>714375</xdr:colOff>
      <xdr:row>88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0.53343</cdr:x>
      <cdr:y>0.34764</cdr:y>
    </cdr:from>
    <cdr:to>
      <cdr:x>0.88825</cdr:x>
      <cdr:y>0.50026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508375" y="1041400"/>
          <a:ext cx="2333626" cy="457200"/>
        </a:xfrm>
        <a:prstGeom xmlns:a="http://schemas.openxmlformats.org/drawingml/2006/main" prst="rect">
          <a:avLst/>
        </a:prstGeom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SIN</a:t>
          </a:r>
          <a:r>
            <a:rPr lang="es-ES" sz="1100" baseline="0"/>
            <a:t> VARIEDAD: 141 ha (4%)</a:t>
          </a:r>
        </a:p>
        <a:p xmlns:a="http://schemas.openxmlformats.org/drawingml/2006/main">
          <a:r>
            <a:rPr lang="es-ES" sz="1100" baseline="0"/>
            <a:t>RESTO VARIEDADES: 302 ha (9%)</a:t>
          </a:r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0.48381</cdr:x>
      <cdr:y>0.32534</cdr:y>
    </cdr:from>
    <cdr:to>
      <cdr:x>0.90513</cdr:x>
      <cdr:y>0.46074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2679700" y="1098550"/>
          <a:ext cx="2333626" cy="457200"/>
        </a:xfrm>
        <a:prstGeom xmlns:a="http://schemas.openxmlformats.org/drawingml/2006/main" prst="rect">
          <a:avLst/>
        </a:prstGeom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SIN</a:t>
          </a:r>
          <a:r>
            <a:rPr lang="es-ES" sz="1100" baseline="0"/>
            <a:t> VARIEDAD: 43 ha (1%)</a:t>
          </a:r>
        </a:p>
        <a:p xmlns:a="http://schemas.openxmlformats.org/drawingml/2006/main">
          <a:r>
            <a:rPr lang="es-ES" sz="1100" baseline="0"/>
            <a:t>RESTO VARIEDADES: 395 ha (6%)</a:t>
          </a:r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661986</xdr:colOff>
      <xdr:row>18</xdr:row>
      <xdr:rowOff>128587</xdr:rowOff>
    </xdr:from>
    <xdr:to>
      <xdr:col>21</xdr:col>
      <xdr:colOff>304800</xdr:colOff>
      <xdr:row>34</xdr:row>
      <xdr:rowOff>47626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757236</xdr:colOff>
      <xdr:row>50</xdr:row>
      <xdr:rowOff>176212</xdr:rowOff>
    </xdr:from>
    <xdr:to>
      <xdr:col>22</xdr:col>
      <xdr:colOff>257175</xdr:colOff>
      <xdr:row>67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0.45987</cdr:x>
      <cdr:y>0.46258</cdr:y>
    </cdr:from>
    <cdr:to>
      <cdr:x>0.87975</cdr:x>
      <cdr:y>0.61329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2555875" y="1403350"/>
          <a:ext cx="2333626" cy="457200"/>
        </a:xfrm>
        <a:prstGeom xmlns:a="http://schemas.openxmlformats.org/drawingml/2006/main" prst="rect">
          <a:avLst/>
        </a:prstGeom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SIN</a:t>
          </a:r>
          <a:r>
            <a:rPr lang="es-ES" sz="1100" baseline="0"/>
            <a:t> VARIEDAD: 10.290 ha (72%)</a:t>
          </a:r>
        </a:p>
        <a:p xmlns:a="http://schemas.openxmlformats.org/drawingml/2006/main">
          <a:r>
            <a:rPr lang="es-ES" sz="1100" baseline="0"/>
            <a:t>RESTO VARIEDADES: 63 ha (0,44%)</a:t>
          </a:r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0.46929</cdr:x>
      <cdr:y>0.46437</cdr:y>
    </cdr:from>
    <cdr:to>
      <cdr:x>0.84708</cdr:x>
      <cdr:y>0.60787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2898775" y="1479550"/>
          <a:ext cx="2333626" cy="457200"/>
        </a:xfrm>
        <a:prstGeom xmlns:a="http://schemas.openxmlformats.org/drawingml/2006/main" prst="rect">
          <a:avLst/>
        </a:prstGeom>
        <a:ln xmlns:a="http://schemas.openxmlformats.org/drawingml/2006/main" w="6350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SIN</a:t>
          </a:r>
          <a:r>
            <a:rPr lang="es-ES" sz="1100" baseline="0"/>
            <a:t> VARIEDAD: 613 ha (86%)</a:t>
          </a:r>
        </a:p>
        <a:p xmlns:a="http://schemas.openxmlformats.org/drawingml/2006/main">
          <a:r>
            <a:rPr lang="es-ES" sz="1100" baseline="0"/>
            <a:t>RESTO VARIEDADES: 3 ha (0,44%)</a:t>
          </a:r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164782</xdr:rowOff>
    </xdr:from>
    <xdr:to>
      <xdr:col>15</xdr:col>
      <xdr:colOff>409576</xdr:colOff>
      <xdr:row>26</xdr:row>
      <xdr:rowOff>57150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316230</xdr:colOff>
      <xdr:row>63</xdr:row>
      <xdr:rowOff>2857</xdr:rowOff>
    </xdr:from>
    <xdr:to>
      <xdr:col>20</xdr:col>
      <xdr:colOff>428625</xdr:colOff>
      <xdr:row>76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504825</xdr:colOff>
      <xdr:row>63</xdr:row>
      <xdr:rowOff>80962</xdr:rowOff>
    </xdr:from>
    <xdr:to>
      <xdr:col>15</xdr:col>
      <xdr:colOff>276225</xdr:colOff>
      <xdr:row>76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419100</xdr:colOff>
      <xdr:row>12</xdr:row>
      <xdr:rowOff>66675</xdr:rowOff>
    </xdr:from>
    <xdr:to>
      <xdr:col>21</xdr:col>
      <xdr:colOff>419100</xdr:colOff>
      <xdr:row>26</xdr:row>
      <xdr:rowOff>149225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219076</xdr:colOff>
      <xdr:row>3</xdr:row>
      <xdr:rowOff>23811</xdr:rowOff>
    </xdr:from>
    <xdr:to>
      <xdr:col>14</xdr:col>
      <xdr:colOff>733426</xdr:colOff>
      <xdr:row>19</xdr:row>
      <xdr:rowOff>133350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666750</xdr:colOff>
      <xdr:row>29</xdr:row>
      <xdr:rowOff>200025</xdr:rowOff>
    </xdr:from>
    <xdr:to>
      <xdr:col>14</xdr:col>
      <xdr:colOff>457200</xdr:colOff>
      <xdr:row>47</xdr:row>
      <xdr:rowOff>171450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533400</xdr:colOff>
      <xdr:row>3</xdr:row>
      <xdr:rowOff>0</xdr:rowOff>
    </xdr:from>
    <xdr:to>
      <xdr:col>22</xdr:col>
      <xdr:colOff>323850</xdr:colOff>
      <xdr:row>19</xdr:row>
      <xdr:rowOff>133350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581025</xdr:colOff>
      <xdr:row>29</xdr:row>
      <xdr:rowOff>200025</xdr:rowOff>
    </xdr:from>
    <xdr:to>
      <xdr:col>22</xdr:col>
      <xdr:colOff>390526</xdr:colOff>
      <xdr:row>47</xdr:row>
      <xdr:rowOff>152400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714375</xdr:colOff>
      <xdr:row>3</xdr:row>
      <xdr:rowOff>19050</xdr:rowOff>
    </xdr:from>
    <xdr:to>
      <xdr:col>14</xdr:col>
      <xdr:colOff>466725</xdr:colOff>
      <xdr:row>20</xdr:row>
      <xdr:rowOff>157164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571500</xdr:colOff>
      <xdr:row>2</xdr:row>
      <xdr:rowOff>228600</xdr:rowOff>
    </xdr:from>
    <xdr:to>
      <xdr:col>22</xdr:col>
      <xdr:colOff>361950</xdr:colOff>
      <xdr:row>20</xdr:row>
      <xdr:rowOff>152400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666750</xdr:colOff>
      <xdr:row>21</xdr:row>
      <xdr:rowOff>95250</xdr:rowOff>
    </xdr:from>
    <xdr:to>
      <xdr:col>14</xdr:col>
      <xdr:colOff>457200</xdr:colOff>
      <xdr:row>39</xdr:row>
      <xdr:rowOff>114300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22</xdr:col>
      <xdr:colOff>571501</xdr:colOff>
      <xdr:row>40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52387</xdr:colOff>
      <xdr:row>15</xdr:row>
      <xdr:rowOff>0</xdr:rowOff>
    </xdr:from>
    <xdr:to>
      <xdr:col>15</xdr:col>
      <xdr:colOff>428625</xdr:colOff>
      <xdr:row>30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133350</xdr:colOff>
      <xdr:row>15</xdr:row>
      <xdr:rowOff>114300</xdr:rowOff>
    </xdr:from>
    <xdr:to>
      <xdr:col>28</xdr:col>
      <xdr:colOff>133350</xdr:colOff>
      <xdr:row>30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428624</xdr:colOff>
      <xdr:row>46</xdr:row>
      <xdr:rowOff>9525</xdr:rowOff>
    </xdr:from>
    <xdr:to>
      <xdr:col>16</xdr:col>
      <xdr:colOff>104775</xdr:colOff>
      <xdr:row>60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600075</xdr:colOff>
      <xdr:row>15</xdr:row>
      <xdr:rowOff>19050</xdr:rowOff>
    </xdr:from>
    <xdr:to>
      <xdr:col>21</xdr:col>
      <xdr:colOff>738188</xdr:colOff>
      <xdr:row>30</xdr:row>
      <xdr:rowOff>38100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180975</xdr:colOff>
      <xdr:row>45</xdr:row>
      <xdr:rowOff>180974</xdr:rowOff>
    </xdr:from>
    <xdr:to>
      <xdr:col>22</xdr:col>
      <xdr:colOff>600075</xdr:colOff>
      <xdr:row>60</xdr:row>
      <xdr:rowOff>114299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12</xdr:row>
      <xdr:rowOff>76199</xdr:rowOff>
    </xdr:from>
    <xdr:to>
      <xdr:col>16</xdr:col>
      <xdr:colOff>642938</xdr:colOff>
      <xdr:row>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152400</xdr:colOff>
      <xdr:row>12</xdr:row>
      <xdr:rowOff>133349</xdr:rowOff>
    </xdr:from>
    <xdr:to>
      <xdr:col>24</xdr:col>
      <xdr:colOff>104775</xdr:colOff>
      <xdr:row>27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466724</xdr:colOff>
      <xdr:row>16</xdr:row>
      <xdr:rowOff>0</xdr:rowOff>
    </xdr:from>
    <xdr:to>
      <xdr:col>16</xdr:col>
      <xdr:colOff>342899</xdr:colOff>
      <xdr:row>31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514350</xdr:colOff>
      <xdr:row>16</xdr:row>
      <xdr:rowOff>0</xdr:rowOff>
    </xdr:from>
    <xdr:to>
      <xdr:col>23</xdr:col>
      <xdr:colOff>619125</xdr:colOff>
      <xdr:row>31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245005</xdr:colOff>
      <xdr:row>132</xdr:row>
      <xdr:rowOff>179387</xdr:rowOff>
    </xdr:from>
    <xdr:to>
      <xdr:col>30</xdr:col>
      <xdr:colOff>338666</xdr:colOff>
      <xdr:row>148</xdr:row>
      <xdr:rowOff>74084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175260</xdr:colOff>
      <xdr:row>1</xdr:row>
      <xdr:rowOff>209550</xdr:rowOff>
    </xdr:from>
    <xdr:to>
      <xdr:col>39</xdr:col>
      <xdr:colOff>642620</xdr:colOff>
      <xdr:row>14</xdr:row>
      <xdr:rowOff>7620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572770</xdr:colOff>
      <xdr:row>75</xdr:row>
      <xdr:rowOff>47625</xdr:rowOff>
    </xdr:from>
    <xdr:to>
      <xdr:col>40</xdr:col>
      <xdr:colOff>295910</xdr:colOff>
      <xdr:row>87</xdr:row>
      <xdr:rowOff>168275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685798</xdr:colOff>
      <xdr:row>42</xdr:row>
      <xdr:rowOff>17992</xdr:rowOff>
    </xdr:from>
    <xdr:to>
      <xdr:col>40</xdr:col>
      <xdr:colOff>425449</xdr:colOff>
      <xdr:row>57</xdr:row>
      <xdr:rowOff>70908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85</xdr:row>
      <xdr:rowOff>75142</xdr:rowOff>
    </xdr:from>
    <xdr:to>
      <xdr:col>48</xdr:col>
      <xdr:colOff>133350</xdr:colOff>
      <xdr:row>100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501650</xdr:colOff>
      <xdr:row>55</xdr:row>
      <xdr:rowOff>6350</xdr:rowOff>
    </xdr:from>
    <xdr:to>
      <xdr:col>40</xdr:col>
      <xdr:colOff>190500</xdr:colOff>
      <xdr:row>56</xdr:row>
      <xdr:rowOff>101600</xdr:rowOff>
    </xdr:to>
    <xdr:sp macro="" textlink="">
      <xdr:nvSpPr>
        <xdr:cNvPr id="2" name="CuadroTexto 1"/>
        <xdr:cNvSpPr txBox="1"/>
      </xdr:nvSpPr>
      <xdr:spPr>
        <a:xfrm>
          <a:off x="31616650" y="11108267"/>
          <a:ext cx="1128183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/>
            <a:t>% jóvenes/total</a:t>
          </a:r>
        </a:p>
      </xdr:txBody>
    </xdr:sp>
    <xdr:clientData/>
  </xdr:twoCellAnchor>
  <xdr:twoCellAnchor>
    <xdr:from>
      <xdr:col>24</xdr:col>
      <xdr:colOff>751418</xdr:colOff>
      <xdr:row>58</xdr:row>
      <xdr:rowOff>169334</xdr:rowOff>
    </xdr:from>
    <xdr:to>
      <xdr:col>30</xdr:col>
      <xdr:colOff>845079</xdr:colOff>
      <xdr:row>74</xdr:row>
      <xdr:rowOff>64031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466725</xdr:colOff>
      <xdr:row>1</xdr:row>
      <xdr:rowOff>123825</xdr:rowOff>
    </xdr:from>
    <xdr:to>
      <xdr:col>48</xdr:col>
      <xdr:colOff>29210</xdr:colOff>
      <xdr:row>13</xdr:row>
      <xdr:rowOff>112395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609600</xdr:colOff>
      <xdr:row>89</xdr:row>
      <xdr:rowOff>76200</xdr:rowOff>
    </xdr:from>
    <xdr:to>
      <xdr:col>40</xdr:col>
      <xdr:colOff>332740</xdr:colOff>
      <xdr:row>104</xdr:row>
      <xdr:rowOff>130175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714374</xdr:colOff>
      <xdr:row>23</xdr:row>
      <xdr:rowOff>66675</xdr:rowOff>
    </xdr:from>
    <xdr:to>
      <xdr:col>48</xdr:col>
      <xdr:colOff>247649</xdr:colOff>
      <xdr:row>40</xdr:row>
      <xdr:rowOff>142875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495300</xdr:colOff>
      <xdr:row>105</xdr:row>
      <xdr:rowOff>66674</xdr:rowOff>
    </xdr:from>
    <xdr:to>
      <xdr:col>47</xdr:col>
      <xdr:colOff>714375</xdr:colOff>
      <xdr:row>125</xdr:row>
      <xdr:rowOff>85725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0.70501</cdr:x>
      <cdr:y>0.88235</cdr:y>
    </cdr:from>
    <cdr:to>
      <cdr:x>0.96346</cdr:x>
      <cdr:y>0.97269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308350" y="2667000"/>
          <a:ext cx="1212850" cy="27305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/>
            <a:t>% jóvenes/total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EXCEL%20An&#225;lisis%20de%20la%20Realidad%20productiva%202020_Frutos%20secos.xlsx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6"/>
  <sheetViews>
    <sheetView workbookViewId="0">
      <selection activeCell="C25" sqref="C25"/>
    </sheetView>
  </sheetViews>
  <sheetFormatPr baseColWidth="10" defaultRowHeight="15" x14ac:dyDescent="0.25"/>
  <cols>
    <col min="2" max="2" width="47.85546875" customWidth="1"/>
    <col min="3" max="3" width="42.42578125" customWidth="1"/>
  </cols>
  <sheetData>
    <row r="2" spans="2:3" ht="16.5" x14ac:dyDescent="0.25">
      <c r="B2" s="1"/>
    </row>
    <row r="3" spans="2:3" ht="18.75" x14ac:dyDescent="0.25">
      <c r="B3" s="298" t="s">
        <v>215</v>
      </c>
      <c r="C3" s="298"/>
    </row>
    <row r="4" spans="2:3" ht="30" customHeight="1" x14ac:dyDescent="0.25">
      <c r="B4" s="138" t="s">
        <v>212</v>
      </c>
      <c r="C4" s="139" t="s">
        <v>210</v>
      </c>
    </row>
    <row r="5" spans="2:3" x14ac:dyDescent="0.25">
      <c r="B5" s="180" t="s">
        <v>142</v>
      </c>
      <c r="C5" s="179" t="s">
        <v>142</v>
      </c>
    </row>
    <row r="6" spans="2:3" x14ac:dyDescent="0.25">
      <c r="B6" s="179" t="s">
        <v>146</v>
      </c>
      <c r="C6" s="179" t="s">
        <v>146</v>
      </c>
    </row>
    <row r="7" spans="2:3" x14ac:dyDescent="0.25">
      <c r="B7" s="179" t="s">
        <v>145</v>
      </c>
      <c r="C7" s="179" t="s">
        <v>145</v>
      </c>
    </row>
    <row r="8" spans="2:3" x14ac:dyDescent="0.25">
      <c r="B8" s="179" t="s">
        <v>144</v>
      </c>
      <c r="C8" s="179" t="s">
        <v>144</v>
      </c>
    </row>
    <row r="9" spans="2:3" x14ac:dyDescent="0.25">
      <c r="B9" s="179" t="s">
        <v>85</v>
      </c>
      <c r="C9" s="179" t="s">
        <v>85</v>
      </c>
    </row>
    <row r="10" spans="2:3" x14ac:dyDescent="0.25">
      <c r="B10" s="179" t="s">
        <v>143</v>
      </c>
      <c r="C10" s="179" t="s">
        <v>143</v>
      </c>
    </row>
    <row r="11" spans="2:3" x14ac:dyDescent="0.25">
      <c r="B11" s="180" t="s">
        <v>232</v>
      </c>
      <c r="C11" s="137"/>
    </row>
    <row r="12" spans="2:3" ht="16.5" customHeight="1" x14ac:dyDescent="0.25">
      <c r="B12" s="177" t="s">
        <v>213</v>
      </c>
      <c r="C12" s="178" t="s">
        <v>211</v>
      </c>
    </row>
    <row r="13" spans="2:3" x14ac:dyDescent="0.25">
      <c r="B13" s="179" t="s">
        <v>142</v>
      </c>
      <c r="C13" s="179" t="s">
        <v>142</v>
      </c>
    </row>
    <row r="14" spans="2:3" x14ac:dyDescent="0.25">
      <c r="B14" s="179" t="s">
        <v>146</v>
      </c>
      <c r="C14" s="179" t="s">
        <v>146</v>
      </c>
    </row>
    <row r="15" spans="2:3" x14ac:dyDescent="0.25">
      <c r="B15" s="179" t="s">
        <v>85</v>
      </c>
      <c r="C15" s="179" t="s">
        <v>145</v>
      </c>
    </row>
    <row r="16" spans="2:3" x14ac:dyDescent="0.25">
      <c r="B16" s="179" t="s">
        <v>145</v>
      </c>
      <c r="C16" s="179" t="s">
        <v>144</v>
      </c>
    </row>
    <row r="17" spans="2:3" x14ac:dyDescent="0.25">
      <c r="B17" s="179" t="s">
        <v>144</v>
      </c>
      <c r="C17" s="179" t="s">
        <v>85</v>
      </c>
    </row>
    <row r="18" spans="2:3" x14ac:dyDescent="0.25">
      <c r="B18" s="179" t="s">
        <v>143</v>
      </c>
      <c r="C18" s="179" t="s">
        <v>143</v>
      </c>
    </row>
    <row r="19" spans="2:3" ht="30.75" customHeight="1" x14ac:dyDescent="0.25">
      <c r="B19" s="140" t="s">
        <v>214</v>
      </c>
      <c r="C19" s="140" t="s">
        <v>322</v>
      </c>
    </row>
    <row r="20" spans="2:3" x14ac:dyDescent="0.25">
      <c r="B20" s="179" t="s">
        <v>142</v>
      </c>
      <c r="C20" s="179" t="s">
        <v>142</v>
      </c>
    </row>
    <row r="21" spans="2:3" x14ac:dyDescent="0.25">
      <c r="B21" s="179" t="s">
        <v>146</v>
      </c>
      <c r="C21" s="179" t="s">
        <v>146</v>
      </c>
    </row>
    <row r="22" spans="2:3" x14ac:dyDescent="0.25">
      <c r="B22" s="179" t="s">
        <v>145</v>
      </c>
    </row>
    <row r="23" spans="2:3" x14ac:dyDescent="0.25">
      <c r="B23" s="179" t="s">
        <v>144</v>
      </c>
    </row>
    <row r="25" spans="2:3" x14ac:dyDescent="0.25">
      <c r="B25" s="141"/>
    </row>
    <row r="26" spans="2:3" x14ac:dyDescent="0.25">
      <c r="B26" s="141"/>
    </row>
  </sheetData>
  <mergeCells count="1">
    <mergeCell ref="B3:C3"/>
  </mergeCells>
  <hyperlinks>
    <hyperlink ref="B5" location="'ALM-REPR'!A1" display="ALMENDRO"/>
    <hyperlink ref="B11" location="'Frutos secos TOTAL'!A1" display="FRUTOS SECOS TOTAL"/>
    <hyperlink ref="B6" location="'PIS-REPR'!A1" display="PISTACHO"/>
    <hyperlink ref="B7" location="'AVE-REPR'!A1" display="AVELLANO"/>
    <hyperlink ref="B8" location="'ALG-REPR'!A1" display="ALGARROBO"/>
    <hyperlink ref="B9" location="'CAS-REPR'!A1" display="CASTAÑO"/>
    <hyperlink ref="B10" location="'NOG-REPR'!A1" display="NOGAL"/>
    <hyperlink ref="C5" location="'ALM-PEND'!A1" display="ALMENDRO"/>
    <hyperlink ref="C6" location="'PIS-PEND'!A1" display="PISTACHO"/>
    <hyperlink ref="C7" location="'AVE-PEND'!A1" display="AVELLANO"/>
    <hyperlink ref="C8" location="'ALG-PEND'!A1" display="ALGARROBO"/>
    <hyperlink ref="C9" location="'CAS-PEND'!A1" display="CASTAÑO"/>
    <hyperlink ref="C10" location="'NOG-PEND'!A1" display="NOGAL"/>
    <hyperlink ref="B13" location="'ALM-EDAD'!A1" display="ALMENDRO"/>
    <hyperlink ref="B14" location="'PIS-EDAD'!A1" display="PISTACHO"/>
    <hyperlink ref="B15" location="'CAS-EDAD'!A1" display="CASTAÑO"/>
    <hyperlink ref="B16" location="'AVE-EDAD'!A1" display="AVELLANO"/>
    <hyperlink ref="B17" location="'ALG-EDAD'!A1" display="ALGARROBO"/>
    <hyperlink ref="B18" location="'NOG-EDAD'!A1" display="NOGAL"/>
    <hyperlink ref="C13" location="'ALM-EXPL'!A1" display="ALMENDRO"/>
    <hyperlink ref="C14" location="'PIS-EXPL'!A1" display="PISTACHO"/>
    <hyperlink ref="C15" location="'AVE-EXPL'!A1" display="AVELLANO"/>
    <hyperlink ref="C16" location="'ALG-EXPL'!A1" display="ALGARROBO"/>
    <hyperlink ref="C17" location="'CAS-EXPL'!A1" display="CASTAÑO"/>
    <hyperlink ref="C18" location="'NOG-EXPL'!A1" display="NOGAL"/>
    <hyperlink ref="B20" location="'ALM-VAR'!A1" display="ALMENDRO"/>
    <hyperlink ref="B21" location="'PIS-VAR'!A1" display="PISTACHO"/>
    <hyperlink ref="B22" location="'AVE-VAR'!A1" display="AVELLANO"/>
    <hyperlink ref="B23" location="'ALG-VAR'!A1" display="ALGARROBO"/>
    <hyperlink ref="C20" location="'ALM-VAR-EDAD'!A1" display="ALMENDRO"/>
    <hyperlink ref="C21" location="'PIST-VAR-EDAD'!A1" display="PISTACHO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zoomScale="90" zoomScaleNormal="90" workbookViewId="0">
      <pane xSplit="1" topLeftCell="AD1" activePane="topRight" state="frozen"/>
      <selection pane="topRight" activeCell="D1" sqref="D1"/>
    </sheetView>
  </sheetViews>
  <sheetFormatPr baseColWidth="10" defaultRowHeight="15" x14ac:dyDescent="0.25"/>
  <cols>
    <col min="1" max="1" width="23.85546875" customWidth="1"/>
    <col min="24" max="24" width="17.85546875" customWidth="1"/>
    <col min="25" max="25" width="15.85546875" customWidth="1"/>
    <col min="26" max="26" width="16.140625" customWidth="1"/>
    <col min="27" max="32" width="13.85546875" customWidth="1"/>
    <col min="34" max="34" width="12.85546875" bestFit="1" customWidth="1"/>
    <col min="45" max="45" width="13.140625" customWidth="1"/>
    <col min="47" max="47" width="13" bestFit="1" customWidth="1"/>
  </cols>
  <sheetData>
    <row r="1" spans="1:47" x14ac:dyDescent="0.25">
      <c r="C1" s="2" t="s">
        <v>0</v>
      </c>
      <c r="D1" s="176" t="s">
        <v>1</v>
      </c>
      <c r="E1" s="2" t="s">
        <v>224</v>
      </c>
      <c r="F1" t="s">
        <v>231</v>
      </c>
    </row>
    <row r="2" spans="1:47" x14ac:dyDescent="0.25">
      <c r="C2" s="2"/>
      <c r="D2" s="176"/>
      <c r="E2" s="2"/>
      <c r="F2" t="s">
        <v>321</v>
      </c>
    </row>
    <row r="3" spans="1:47" ht="18.75" x14ac:dyDescent="0.3">
      <c r="A3" s="39" t="s">
        <v>8</v>
      </c>
      <c r="D3" s="33"/>
      <c r="Z3" s="35"/>
    </row>
    <row r="4" spans="1:47" ht="63.75" x14ac:dyDescent="0.25">
      <c r="A4" s="36" t="s">
        <v>2</v>
      </c>
      <c r="B4" s="37" t="s">
        <v>88</v>
      </c>
      <c r="C4" s="267">
        <v>2000</v>
      </c>
      <c r="D4" s="267">
        <v>2001</v>
      </c>
      <c r="E4" s="267">
        <v>2002</v>
      </c>
      <c r="F4" s="267">
        <v>2003</v>
      </c>
      <c r="G4" s="267">
        <v>2004</v>
      </c>
      <c r="H4" s="267">
        <v>2005</v>
      </c>
      <c r="I4" s="267">
        <v>2006</v>
      </c>
      <c r="J4" s="267">
        <v>2007</v>
      </c>
      <c r="K4" s="267">
        <v>2008</v>
      </c>
      <c r="L4" s="267">
        <v>2009</v>
      </c>
      <c r="M4" s="267">
        <v>2010</v>
      </c>
      <c r="N4" s="267">
        <v>2011</v>
      </c>
      <c r="O4" s="267">
        <v>2012</v>
      </c>
      <c r="P4" s="267">
        <v>2013</v>
      </c>
      <c r="Q4" s="267">
        <v>2014</v>
      </c>
      <c r="R4" s="267">
        <v>2015</v>
      </c>
      <c r="S4" s="267">
        <v>2016</v>
      </c>
      <c r="T4" s="267">
        <v>2017</v>
      </c>
      <c r="U4" s="267">
        <v>2018</v>
      </c>
      <c r="V4" s="267">
        <v>2019</v>
      </c>
      <c r="W4" s="267">
        <v>2020</v>
      </c>
      <c r="X4" s="36" t="s">
        <v>89</v>
      </c>
      <c r="Y4" s="36" t="s">
        <v>90</v>
      </c>
      <c r="Z4" s="38" t="s">
        <v>91</v>
      </c>
      <c r="AB4" s="196" t="s">
        <v>250</v>
      </c>
      <c r="AC4" s="196" t="s">
        <v>251</v>
      </c>
      <c r="AD4" s="196" t="s">
        <v>252</v>
      </c>
      <c r="AE4" s="196" t="s">
        <v>103</v>
      </c>
      <c r="AF4" s="196" t="s">
        <v>254</v>
      </c>
    </row>
    <row r="5" spans="1:47" x14ac:dyDescent="0.25">
      <c r="A5" s="44" t="s">
        <v>49</v>
      </c>
      <c r="B5" s="45">
        <v>32.980000000000004</v>
      </c>
      <c r="C5" s="45">
        <v>54.42</v>
      </c>
      <c r="D5" s="45"/>
      <c r="E5" s="45">
        <v>1.69</v>
      </c>
      <c r="F5" s="45">
        <v>3.33</v>
      </c>
      <c r="G5" s="45">
        <v>0.35</v>
      </c>
      <c r="H5" s="45">
        <v>18.34</v>
      </c>
      <c r="I5" s="45">
        <v>20.260000000000002</v>
      </c>
      <c r="J5" s="45">
        <v>13.25</v>
      </c>
      <c r="K5" s="45">
        <v>11.27</v>
      </c>
      <c r="L5" s="45">
        <v>5.47</v>
      </c>
      <c r="M5" s="45">
        <v>95.03</v>
      </c>
      <c r="N5" s="45">
        <v>62.09</v>
      </c>
      <c r="O5" s="45">
        <v>48.730000000000011</v>
      </c>
      <c r="P5" s="45">
        <v>101.56</v>
      </c>
      <c r="Q5" s="45">
        <v>147.42000000000002</v>
      </c>
      <c r="R5" s="45">
        <v>261.60999999999996</v>
      </c>
      <c r="S5" s="45">
        <v>389.84</v>
      </c>
      <c r="T5" s="45">
        <v>404.02</v>
      </c>
      <c r="U5" s="45">
        <v>505.58999999999992</v>
      </c>
      <c r="V5" s="45">
        <v>339.21999999999997</v>
      </c>
      <c r="W5" s="45">
        <v>371.84</v>
      </c>
      <c r="X5" s="45">
        <v>0.98</v>
      </c>
      <c r="Y5" s="45">
        <v>2889.32</v>
      </c>
      <c r="Z5" s="46">
        <f t="shared" ref="Z5:Z23" si="0">Y5/$Y$56</f>
        <v>7.9389114976723088E-2</v>
      </c>
      <c r="AA5" s="162"/>
      <c r="AB5" s="197">
        <f>SUM(B5:S5)</f>
        <v>1267.6399999999999</v>
      </c>
      <c r="AC5" s="197">
        <f t="shared" ref="AC5:AC54" si="1">SUM(T5:W5)</f>
        <v>1620.6699999999998</v>
      </c>
      <c r="AD5" s="197">
        <f t="shared" ref="AD5:AD55" si="2">X5</f>
        <v>0.98</v>
      </c>
      <c r="AE5" s="197">
        <f>AB5+AC5+AD5</f>
        <v>2889.2899999999995</v>
      </c>
      <c r="AF5" s="189">
        <f t="shared" ref="AF5:AF36" si="3">AC5/AE5</f>
        <v>0.56092327180726065</v>
      </c>
    </row>
    <row r="6" spans="1:47" x14ac:dyDescent="0.25">
      <c r="A6" s="13" t="s">
        <v>11</v>
      </c>
      <c r="B6" s="14">
        <v>2.62</v>
      </c>
      <c r="C6" s="14">
        <v>0.38</v>
      </c>
      <c r="D6" s="14"/>
      <c r="E6" s="14"/>
      <c r="F6" s="14"/>
      <c r="G6" s="14"/>
      <c r="H6" s="14"/>
      <c r="I6" s="14"/>
      <c r="J6" s="14"/>
      <c r="K6" s="14"/>
      <c r="L6" s="14"/>
      <c r="M6" s="14">
        <v>0.36</v>
      </c>
      <c r="N6" s="14">
        <v>3.99</v>
      </c>
      <c r="O6" s="14">
        <v>4.05</v>
      </c>
      <c r="P6" s="14">
        <v>1.45</v>
      </c>
      <c r="Q6" s="14">
        <v>2.11</v>
      </c>
      <c r="R6" s="14">
        <v>6.67</v>
      </c>
      <c r="S6" s="14">
        <v>6.56</v>
      </c>
      <c r="T6" s="14">
        <v>6.8000000000000007</v>
      </c>
      <c r="U6" s="14">
        <v>22.520000000000003</v>
      </c>
      <c r="V6" s="14">
        <v>12.02</v>
      </c>
      <c r="W6" s="14">
        <v>8.15</v>
      </c>
      <c r="X6" s="14">
        <v>0.11</v>
      </c>
      <c r="Y6" s="14">
        <v>77.790000000000006</v>
      </c>
      <c r="Z6" s="26">
        <f t="shared" si="0"/>
        <v>2.1374161581407696E-3</v>
      </c>
      <c r="AA6" s="162"/>
      <c r="AB6" s="198">
        <f t="shared" ref="AB6:AB54" si="4">SUM(B6:S6)</f>
        <v>28.189999999999994</v>
      </c>
      <c r="AC6" s="198">
        <f t="shared" si="1"/>
        <v>49.49</v>
      </c>
      <c r="AD6" s="198">
        <f t="shared" si="2"/>
        <v>0.11</v>
      </c>
      <c r="AE6" s="198">
        <f t="shared" ref="AE6:AE55" si="5">AB6+AC6+AD6</f>
        <v>77.789999999999992</v>
      </c>
      <c r="AF6" s="190">
        <f>AC6/AE6</f>
        <v>0.63620002571024559</v>
      </c>
      <c r="AS6" s="251" t="s">
        <v>291</v>
      </c>
      <c r="AT6" s="251" t="s">
        <v>103</v>
      </c>
      <c r="AU6" s="251" t="s">
        <v>292</v>
      </c>
    </row>
    <row r="7" spans="1:47" x14ac:dyDescent="0.25">
      <c r="A7" s="13" t="s">
        <v>12</v>
      </c>
      <c r="B7" s="14"/>
      <c r="C7" s="14"/>
      <c r="D7" s="14"/>
      <c r="E7" s="14"/>
      <c r="F7" s="14"/>
      <c r="G7" s="14"/>
      <c r="H7" s="14">
        <v>11.27</v>
      </c>
      <c r="I7" s="14"/>
      <c r="J7" s="14"/>
      <c r="K7" s="14"/>
      <c r="L7" s="14"/>
      <c r="M7" s="14"/>
      <c r="N7" s="14"/>
      <c r="O7" s="14"/>
      <c r="P7" s="14"/>
      <c r="Q7" s="14">
        <v>8.1000000000000014</v>
      </c>
      <c r="R7" s="14">
        <v>2.4300000000000002</v>
      </c>
      <c r="S7" s="14">
        <v>15.370000000000001</v>
      </c>
      <c r="T7" s="14">
        <v>21.709999999999997</v>
      </c>
      <c r="U7" s="14">
        <v>25.759999999999998</v>
      </c>
      <c r="V7" s="14">
        <v>63.230000000000004</v>
      </c>
      <c r="W7" s="14">
        <v>22.66</v>
      </c>
      <c r="X7" s="14"/>
      <c r="Y7" s="14">
        <v>170.53</v>
      </c>
      <c r="Z7" s="26">
        <f t="shared" si="0"/>
        <v>4.685609685663266E-3</v>
      </c>
      <c r="AA7" s="162"/>
      <c r="AB7" s="198">
        <f t="shared" si="4"/>
        <v>37.17</v>
      </c>
      <c r="AC7" s="198">
        <f t="shared" si="1"/>
        <v>133.36000000000001</v>
      </c>
      <c r="AD7" s="198">
        <f t="shared" si="2"/>
        <v>0</v>
      </c>
      <c r="AE7" s="198">
        <f t="shared" si="5"/>
        <v>170.53000000000003</v>
      </c>
      <c r="AF7" s="190">
        <f t="shared" si="3"/>
        <v>0.78203248695244232</v>
      </c>
      <c r="AR7" s="44" t="s">
        <v>52</v>
      </c>
      <c r="AS7" s="162">
        <f>AC27</f>
        <v>19923.780000000002</v>
      </c>
      <c r="AT7" s="162">
        <f>AE27</f>
        <v>29250.86</v>
      </c>
      <c r="AU7" s="249">
        <f>AS7/AT7</f>
        <v>0.68113484526608803</v>
      </c>
    </row>
    <row r="8" spans="1:47" x14ac:dyDescent="0.25">
      <c r="A8" s="13" t="s">
        <v>13</v>
      </c>
      <c r="B8" s="14"/>
      <c r="C8" s="14">
        <v>4.92</v>
      </c>
      <c r="D8" s="14"/>
      <c r="E8" s="14"/>
      <c r="F8" s="14"/>
      <c r="G8" s="14"/>
      <c r="H8" s="14"/>
      <c r="I8" s="14"/>
      <c r="J8" s="14"/>
      <c r="K8" s="14"/>
      <c r="L8" s="14">
        <v>2.0499999999999998</v>
      </c>
      <c r="M8" s="14">
        <v>80.680000000000007</v>
      </c>
      <c r="N8" s="14">
        <v>13.19</v>
      </c>
      <c r="O8" s="14">
        <v>4.1400000000000006</v>
      </c>
      <c r="P8" s="14">
        <v>22.02</v>
      </c>
      <c r="Q8" s="14">
        <v>5.71</v>
      </c>
      <c r="R8" s="14">
        <v>8.31</v>
      </c>
      <c r="S8" s="14">
        <v>6.3999999999999995</v>
      </c>
      <c r="T8" s="14">
        <v>31.8</v>
      </c>
      <c r="U8" s="14">
        <v>22.06</v>
      </c>
      <c r="V8" s="14">
        <v>45.139999999999993</v>
      </c>
      <c r="W8" s="14">
        <v>45.13</v>
      </c>
      <c r="X8" s="14">
        <v>0.21000000000000002</v>
      </c>
      <c r="Y8" s="14">
        <v>291.76</v>
      </c>
      <c r="Z8" s="26">
        <f t="shared" si="0"/>
        <v>8.0166157385158886E-3</v>
      </c>
      <c r="AA8" s="162"/>
      <c r="AB8" s="198">
        <f t="shared" si="4"/>
        <v>147.42000000000002</v>
      </c>
      <c r="AC8" s="198">
        <f t="shared" si="1"/>
        <v>144.13</v>
      </c>
      <c r="AD8" s="198">
        <f t="shared" si="2"/>
        <v>0.21000000000000002</v>
      </c>
      <c r="AE8" s="198">
        <f t="shared" si="5"/>
        <v>291.76</v>
      </c>
      <c r="AF8" s="190">
        <f t="shared" si="3"/>
        <v>0.49400191938579652</v>
      </c>
      <c r="AR8" s="44" t="s">
        <v>49</v>
      </c>
      <c r="AS8" s="162">
        <f>AC5</f>
        <v>1620.6699999999998</v>
      </c>
      <c r="AT8" s="162">
        <f>AE5</f>
        <v>2889.2899999999995</v>
      </c>
      <c r="AU8" s="249">
        <f t="shared" ref="AU8:AU11" si="6">AS8/AT8</f>
        <v>0.56092327180726065</v>
      </c>
    </row>
    <row r="9" spans="1:47" x14ac:dyDescent="0.25">
      <c r="A9" s="13" t="s">
        <v>14</v>
      </c>
      <c r="B9" s="14">
        <v>5.94</v>
      </c>
      <c r="C9" s="14">
        <v>2.31</v>
      </c>
      <c r="D9" s="14"/>
      <c r="E9" s="14">
        <v>1.69</v>
      </c>
      <c r="F9" s="14">
        <v>3.33</v>
      </c>
      <c r="G9" s="14">
        <v>0.06</v>
      </c>
      <c r="H9" s="14">
        <v>1.02</v>
      </c>
      <c r="I9" s="14">
        <v>15.47</v>
      </c>
      <c r="J9" s="14">
        <v>0.52</v>
      </c>
      <c r="K9" s="14">
        <v>5.7</v>
      </c>
      <c r="L9" s="14"/>
      <c r="M9" s="14">
        <v>2.96</v>
      </c>
      <c r="N9" s="14">
        <v>10.16</v>
      </c>
      <c r="O9" s="14">
        <v>15.790000000000001</v>
      </c>
      <c r="P9" s="14">
        <v>65.5</v>
      </c>
      <c r="Q9" s="14">
        <v>39.97</v>
      </c>
      <c r="R9" s="14">
        <v>102.83</v>
      </c>
      <c r="S9" s="14">
        <v>137.10999999999999</v>
      </c>
      <c r="T9" s="14">
        <v>100.58</v>
      </c>
      <c r="U9" s="14">
        <v>288.57</v>
      </c>
      <c r="V9" s="14">
        <v>114.5</v>
      </c>
      <c r="W9" s="14">
        <v>164.14</v>
      </c>
      <c r="X9" s="14">
        <v>0.33999999999999997</v>
      </c>
      <c r="Y9" s="14">
        <v>1078.49</v>
      </c>
      <c r="Z9" s="26">
        <f t="shared" si="0"/>
        <v>2.9633396996956406E-2</v>
      </c>
      <c r="AA9" s="162"/>
      <c r="AB9" s="198">
        <f t="shared" si="4"/>
        <v>410.36</v>
      </c>
      <c r="AC9" s="198">
        <f t="shared" si="1"/>
        <v>667.79</v>
      </c>
      <c r="AD9" s="198">
        <f t="shared" si="2"/>
        <v>0.33999999999999997</v>
      </c>
      <c r="AE9" s="198">
        <f t="shared" si="5"/>
        <v>1078.49</v>
      </c>
      <c r="AF9" s="190">
        <f t="shared" si="3"/>
        <v>0.61918979313670031</v>
      </c>
      <c r="AR9" s="44" t="s">
        <v>293</v>
      </c>
      <c r="AS9" s="162">
        <f>AC33</f>
        <v>1309.3</v>
      </c>
      <c r="AT9" s="162">
        <f>AE33</f>
        <v>1761.67</v>
      </c>
      <c r="AU9" s="249">
        <f t="shared" si="6"/>
        <v>0.74321524462583788</v>
      </c>
    </row>
    <row r="10" spans="1:47" x14ac:dyDescent="0.25">
      <c r="A10" s="13" t="s">
        <v>15</v>
      </c>
      <c r="B10" s="14"/>
      <c r="C10" s="14"/>
      <c r="D10" s="14"/>
      <c r="E10" s="14"/>
      <c r="F10" s="14"/>
      <c r="G10" s="14"/>
      <c r="H10" s="14">
        <v>6.02</v>
      </c>
      <c r="I10" s="14">
        <v>1.95</v>
      </c>
      <c r="J10" s="14"/>
      <c r="K10" s="14"/>
      <c r="L10" s="14"/>
      <c r="M10" s="14">
        <v>4.41</v>
      </c>
      <c r="N10" s="14">
        <v>0.18</v>
      </c>
      <c r="O10" s="14">
        <v>1.76</v>
      </c>
      <c r="P10" s="14"/>
      <c r="Q10" s="14">
        <v>1.06</v>
      </c>
      <c r="R10" s="14">
        <v>0.79</v>
      </c>
      <c r="S10" s="14">
        <v>17.73</v>
      </c>
      <c r="T10" s="14">
        <v>3.53</v>
      </c>
      <c r="U10" s="14">
        <v>7.21</v>
      </c>
      <c r="V10" s="14"/>
      <c r="W10" s="14">
        <v>1.26</v>
      </c>
      <c r="X10" s="14"/>
      <c r="Y10" s="14">
        <v>45.9</v>
      </c>
      <c r="Z10" s="26">
        <f t="shared" si="0"/>
        <v>1.2611826926168057E-3</v>
      </c>
      <c r="AA10" s="162"/>
      <c r="AB10" s="198">
        <f t="shared" si="4"/>
        <v>33.9</v>
      </c>
      <c r="AC10" s="198">
        <f t="shared" si="1"/>
        <v>12</v>
      </c>
      <c r="AD10" s="198">
        <f t="shared" si="2"/>
        <v>0</v>
      </c>
      <c r="AE10" s="198">
        <f t="shared" si="5"/>
        <v>45.9</v>
      </c>
      <c r="AF10" s="190">
        <f t="shared" si="3"/>
        <v>0.26143790849673204</v>
      </c>
      <c r="AR10" s="44" t="s">
        <v>54</v>
      </c>
      <c r="AS10" s="162">
        <f>AC45</f>
        <v>671.68999999999994</v>
      </c>
      <c r="AT10" s="162">
        <f>AE45</f>
        <v>1140.9099999999999</v>
      </c>
      <c r="AU10" s="249">
        <f t="shared" si="6"/>
        <v>0.58873180180732931</v>
      </c>
    </row>
    <row r="11" spans="1:47" x14ac:dyDescent="0.25">
      <c r="A11" s="13" t="s">
        <v>16</v>
      </c>
      <c r="B11" s="14">
        <v>24.42</v>
      </c>
      <c r="C11" s="14">
        <v>3.66</v>
      </c>
      <c r="D11" s="14"/>
      <c r="E11" s="14"/>
      <c r="F11" s="14"/>
      <c r="G11" s="14"/>
      <c r="H11" s="14"/>
      <c r="I11" s="14">
        <v>2.84</v>
      </c>
      <c r="J11" s="14">
        <v>1.47</v>
      </c>
      <c r="K11" s="14"/>
      <c r="L11" s="14">
        <v>3.42</v>
      </c>
      <c r="M11" s="14">
        <v>6.62</v>
      </c>
      <c r="N11" s="14">
        <v>17.600000000000001</v>
      </c>
      <c r="O11" s="14">
        <v>22.5</v>
      </c>
      <c r="P11" s="14">
        <v>6.83</v>
      </c>
      <c r="Q11" s="14">
        <v>50.07</v>
      </c>
      <c r="R11" s="14">
        <v>85.179999999999993</v>
      </c>
      <c r="S11" s="14">
        <v>43.13</v>
      </c>
      <c r="T11" s="14">
        <v>71.64</v>
      </c>
      <c r="U11" s="14">
        <v>50.3</v>
      </c>
      <c r="V11" s="14">
        <v>31.02</v>
      </c>
      <c r="W11" s="14">
        <v>54.22</v>
      </c>
      <c r="X11" s="14"/>
      <c r="Y11" s="14">
        <v>474.94999999999993</v>
      </c>
      <c r="Z11" s="26">
        <f t="shared" si="0"/>
        <v>1.3050081042665617E-2</v>
      </c>
      <c r="AA11" s="162"/>
      <c r="AB11" s="198">
        <f t="shared" si="4"/>
        <v>267.74</v>
      </c>
      <c r="AC11" s="198">
        <f t="shared" si="1"/>
        <v>207.18</v>
      </c>
      <c r="AD11" s="198">
        <f t="shared" si="2"/>
        <v>0</v>
      </c>
      <c r="AE11" s="198">
        <f t="shared" si="5"/>
        <v>474.92</v>
      </c>
      <c r="AF11" s="190">
        <f t="shared" si="3"/>
        <v>0.4362418933715152</v>
      </c>
      <c r="AR11" s="44" t="s">
        <v>50</v>
      </c>
      <c r="AS11" s="162">
        <f>AC14</f>
        <v>302.57000000000005</v>
      </c>
      <c r="AT11" s="162">
        <f>AE14</f>
        <v>383.07000000000005</v>
      </c>
      <c r="AU11" s="249">
        <f t="shared" si="6"/>
        <v>0.78985563996136476</v>
      </c>
    </row>
    <row r="12" spans="1:47" x14ac:dyDescent="0.25">
      <c r="A12" s="13" t="s">
        <v>17</v>
      </c>
      <c r="B12" s="14"/>
      <c r="C12" s="14">
        <v>43.15</v>
      </c>
      <c r="D12" s="14"/>
      <c r="E12" s="14"/>
      <c r="F12" s="14"/>
      <c r="G12" s="14">
        <v>0.28999999999999998</v>
      </c>
      <c r="H12" s="14">
        <v>0.03</v>
      </c>
      <c r="I12" s="14"/>
      <c r="J12" s="14">
        <v>11.26</v>
      </c>
      <c r="K12" s="14">
        <v>1.57</v>
      </c>
      <c r="L12" s="14"/>
      <c r="M12" s="14"/>
      <c r="N12" s="14">
        <v>16.350000000000001</v>
      </c>
      <c r="O12" s="14">
        <v>0.49</v>
      </c>
      <c r="P12" s="14">
        <v>5.76</v>
      </c>
      <c r="Q12" s="14">
        <v>24.24</v>
      </c>
      <c r="R12" s="14">
        <v>25.79</v>
      </c>
      <c r="S12" s="14">
        <v>52.48</v>
      </c>
      <c r="T12" s="14">
        <v>91.87</v>
      </c>
      <c r="U12" s="14">
        <v>33.26</v>
      </c>
      <c r="V12" s="14">
        <v>9.98</v>
      </c>
      <c r="W12" s="14">
        <v>46.36</v>
      </c>
      <c r="X12" s="14">
        <v>0.14000000000000001</v>
      </c>
      <c r="Y12" s="14">
        <v>363.02</v>
      </c>
      <c r="Z12" s="26">
        <f t="shared" si="0"/>
        <v>9.9746087379902586E-3</v>
      </c>
      <c r="AA12" s="162"/>
      <c r="AB12" s="198">
        <f t="shared" si="4"/>
        <v>181.41</v>
      </c>
      <c r="AC12" s="198">
        <f t="shared" si="1"/>
        <v>181.46999999999997</v>
      </c>
      <c r="AD12" s="198">
        <f t="shared" si="2"/>
        <v>0.14000000000000001</v>
      </c>
      <c r="AE12" s="198">
        <f t="shared" si="5"/>
        <v>363.02</v>
      </c>
      <c r="AF12" s="190">
        <f t="shared" si="3"/>
        <v>0.49988981323343062</v>
      </c>
      <c r="AR12" s="44"/>
      <c r="AS12" s="162"/>
      <c r="AT12" s="162"/>
      <c r="AU12" s="249"/>
    </row>
    <row r="13" spans="1:47" x14ac:dyDescent="0.25">
      <c r="A13" s="13" t="s">
        <v>18</v>
      </c>
      <c r="B13" s="14"/>
      <c r="C13" s="14"/>
      <c r="D13" s="14"/>
      <c r="E13" s="14"/>
      <c r="F13" s="14"/>
      <c r="G13" s="14"/>
      <c r="H13" s="14"/>
      <c r="I13" s="14"/>
      <c r="J13" s="14"/>
      <c r="K13" s="14">
        <v>4</v>
      </c>
      <c r="L13" s="14"/>
      <c r="M13" s="14"/>
      <c r="N13" s="14">
        <v>0.62</v>
      </c>
      <c r="O13" s="14"/>
      <c r="P13" s="14"/>
      <c r="Q13" s="14">
        <v>16.159999999999997</v>
      </c>
      <c r="R13" s="14">
        <v>29.61</v>
      </c>
      <c r="S13" s="14">
        <v>111.06</v>
      </c>
      <c r="T13" s="14">
        <v>76.09</v>
      </c>
      <c r="U13" s="14">
        <v>55.91</v>
      </c>
      <c r="V13" s="14">
        <v>63.33</v>
      </c>
      <c r="W13" s="14">
        <v>29.919999999999998</v>
      </c>
      <c r="X13" s="14">
        <v>0.18000000000000002</v>
      </c>
      <c r="Y13" s="14">
        <v>386.88</v>
      </c>
      <c r="Z13" s="26">
        <f t="shared" si="0"/>
        <v>1.063020392417407E-2</v>
      </c>
      <c r="AA13" s="162"/>
      <c r="AB13" s="198">
        <f t="shared" si="4"/>
        <v>161.44999999999999</v>
      </c>
      <c r="AC13" s="198">
        <f t="shared" si="1"/>
        <v>225.24999999999997</v>
      </c>
      <c r="AD13" s="198">
        <f t="shared" si="2"/>
        <v>0.18000000000000002</v>
      </c>
      <c r="AE13" s="198">
        <f t="shared" si="5"/>
        <v>386.87999999999994</v>
      </c>
      <c r="AF13" s="190">
        <f t="shared" si="3"/>
        <v>0.58222187758478083</v>
      </c>
    </row>
    <row r="14" spans="1:47" x14ac:dyDescent="0.25">
      <c r="A14" s="44" t="s">
        <v>50</v>
      </c>
      <c r="B14" s="45">
        <f>SUM(B15:B17)</f>
        <v>3.3599999999999994</v>
      </c>
      <c r="C14" s="45">
        <f t="shared" ref="C14:X14" si="7">SUM(C15:C17)</f>
        <v>4.4800000000000004</v>
      </c>
      <c r="D14" s="45">
        <f t="shared" si="7"/>
        <v>0</v>
      </c>
      <c r="E14" s="45">
        <f t="shared" si="7"/>
        <v>0</v>
      </c>
      <c r="F14" s="45">
        <f t="shared" si="7"/>
        <v>0</v>
      </c>
      <c r="G14" s="45">
        <f t="shared" si="7"/>
        <v>0</v>
      </c>
      <c r="H14" s="45">
        <f t="shared" si="7"/>
        <v>0</v>
      </c>
      <c r="I14" s="45">
        <f t="shared" si="7"/>
        <v>0</v>
      </c>
      <c r="J14" s="45">
        <f t="shared" si="7"/>
        <v>0.96</v>
      </c>
      <c r="K14" s="45">
        <f t="shared" si="7"/>
        <v>0</v>
      </c>
      <c r="L14" s="45">
        <f t="shared" si="7"/>
        <v>2.44</v>
      </c>
      <c r="M14" s="45">
        <f t="shared" si="7"/>
        <v>0.76</v>
      </c>
      <c r="N14" s="45">
        <f t="shared" si="7"/>
        <v>4.72</v>
      </c>
      <c r="O14" s="45">
        <f t="shared" si="7"/>
        <v>2.98</v>
      </c>
      <c r="P14" s="45">
        <f t="shared" si="7"/>
        <v>6.3699999999999992</v>
      </c>
      <c r="Q14" s="45">
        <f t="shared" si="7"/>
        <v>3.86</v>
      </c>
      <c r="R14" s="45">
        <f t="shared" si="7"/>
        <v>18.190000000000001</v>
      </c>
      <c r="S14" s="45">
        <f t="shared" si="7"/>
        <v>25.61</v>
      </c>
      <c r="T14" s="45">
        <f t="shared" si="7"/>
        <v>65.8</v>
      </c>
      <c r="U14" s="45">
        <f t="shared" si="7"/>
        <v>125.25999999999999</v>
      </c>
      <c r="V14" s="45">
        <f t="shared" si="7"/>
        <v>82.73</v>
      </c>
      <c r="W14" s="45">
        <f t="shared" si="7"/>
        <v>28.78</v>
      </c>
      <c r="X14" s="45">
        <f t="shared" si="7"/>
        <v>6.77</v>
      </c>
      <c r="Y14" s="45">
        <v>383.07000000000005</v>
      </c>
      <c r="Z14" s="46">
        <f t="shared" si="0"/>
        <v>1.0525517517662742E-2</v>
      </c>
      <c r="AA14" s="162"/>
      <c r="AB14" s="197">
        <f t="shared" si="4"/>
        <v>73.73</v>
      </c>
      <c r="AC14" s="197">
        <f t="shared" si="1"/>
        <v>302.57000000000005</v>
      </c>
      <c r="AD14" s="197">
        <f t="shared" si="2"/>
        <v>6.77</v>
      </c>
      <c r="AE14" s="197">
        <f t="shared" si="5"/>
        <v>383.07000000000005</v>
      </c>
      <c r="AF14" s="189">
        <f t="shared" si="3"/>
        <v>0.78985563996136476</v>
      </c>
    </row>
    <row r="15" spans="1:47" x14ac:dyDescent="0.25">
      <c r="A15" s="13" t="s">
        <v>19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>
        <v>1.92</v>
      </c>
      <c r="P15" s="14"/>
      <c r="Q15" s="14">
        <v>0.08</v>
      </c>
      <c r="R15" s="14">
        <v>0.47</v>
      </c>
      <c r="S15" s="14">
        <v>0.92</v>
      </c>
      <c r="T15" s="14">
        <v>1</v>
      </c>
      <c r="U15" s="14">
        <v>11.520000000000001</v>
      </c>
      <c r="V15" s="14">
        <v>8.39</v>
      </c>
      <c r="W15" s="14">
        <v>4.6900000000000004</v>
      </c>
      <c r="X15" s="14">
        <v>0.16</v>
      </c>
      <c r="Y15" s="14">
        <v>29.150000000000002</v>
      </c>
      <c r="Z15" s="26">
        <f t="shared" si="0"/>
        <v>8.0094717842657721E-4</v>
      </c>
      <c r="AA15" s="162"/>
      <c r="AB15" s="198">
        <f t="shared" si="4"/>
        <v>3.3899999999999997</v>
      </c>
      <c r="AC15" s="198">
        <f t="shared" si="1"/>
        <v>25.600000000000005</v>
      </c>
      <c r="AD15" s="198">
        <f t="shared" si="2"/>
        <v>0.16</v>
      </c>
      <c r="AE15" s="198">
        <f t="shared" si="5"/>
        <v>29.150000000000006</v>
      </c>
      <c r="AF15" s="190">
        <f t="shared" si="3"/>
        <v>0.87821612349914235</v>
      </c>
    </row>
    <row r="16" spans="1:47" x14ac:dyDescent="0.25">
      <c r="A16" s="13" t="s">
        <v>20</v>
      </c>
      <c r="B16" s="14">
        <v>0.62999999999999989</v>
      </c>
      <c r="C16" s="14">
        <v>4.1100000000000003</v>
      </c>
      <c r="D16" s="14"/>
      <c r="E16" s="14"/>
      <c r="F16" s="14"/>
      <c r="G16" s="14"/>
      <c r="H16" s="14"/>
      <c r="I16" s="14"/>
      <c r="J16" s="14">
        <v>0.96</v>
      </c>
      <c r="K16" s="14"/>
      <c r="L16" s="14">
        <v>2.44</v>
      </c>
      <c r="M16" s="14">
        <v>0.76</v>
      </c>
      <c r="N16" s="14"/>
      <c r="O16" s="14"/>
      <c r="P16" s="14">
        <v>6.35</v>
      </c>
      <c r="Q16" s="14">
        <v>1</v>
      </c>
      <c r="R16" s="14">
        <v>17.05</v>
      </c>
      <c r="S16" s="14">
        <v>19.209999999999997</v>
      </c>
      <c r="T16" s="14">
        <v>18.810000000000002</v>
      </c>
      <c r="U16" s="14">
        <v>33.42</v>
      </c>
      <c r="V16" s="14">
        <v>25.060000000000002</v>
      </c>
      <c r="W16" s="14">
        <v>0.34</v>
      </c>
      <c r="X16" s="14">
        <v>0.55000000000000004</v>
      </c>
      <c r="Y16" s="14">
        <v>130.69000000000003</v>
      </c>
      <c r="Z16" s="26">
        <f t="shared" si="0"/>
        <v>3.5909360805684181E-3</v>
      </c>
      <c r="AA16" s="162"/>
      <c r="AB16" s="198">
        <f t="shared" si="4"/>
        <v>52.509999999999991</v>
      </c>
      <c r="AC16" s="198">
        <f t="shared" si="1"/>
        <v>77.63000000000001</v>
      </c>
      <c r="AD16" s="198">
        <f t="shared" si="2"/>
        <v>0.55000000000000004</v>
      </c>
      <c r="AE16" s="198">
        <f t="shared" si="5"/>
        <v>130.69</v>
      </c>
      <c r="AF16" s="190">
        <f t="shared" si="3"/>
        <v>0.59400107123727919</v>
      </c>
    </row>
    <row r="17" spans="1:37" x14ac:dyDescent="0.25">
      <c r="A17" s="13" t="s">
        <v>21</v>
      </c>
      <c r="B17" s="14">
        <v>2.7299999999999995</v>
      </c>
      <c r="C17" s="14">
        <v>0.37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>
        <v>4.72</v>
      </c>
      <c r="O17" s="14">
        <v>1.06</v>
      </c>
      <c r="P17" s="14">
        <v>0.02</v>
      </c>
      <c r="Q17" s="14">
        <v>2.78</v>
      </c>
      <c r="R17" s="14">
        <v>0.67</v>
      </c>
      <c r="S17" s="14">
        <v>5.48</v>
      </c>
      <c r="T17" s="14">
        <v>45.989999999999995</v>
      </c>
      <c r="U17" s="14">
        <v>80.319999999999993</v>
      </c>
      <c r="V17" s="14">
        <v>49.28</v>
      </c>
      <c r="W17" s="14">
        <v>23.75</v>
      </c>
      <c r="X17" s="14">
        <v>6.06</v>
      </c>
      <c r="Y17" s="14">
        <v>223.23</v>
      </c>
      <c r="Z17" s="26">
        <f t="shared" si="0"/>
        <v>6.1336342586677467E-3</v>
      </c>
      <c r="AA17" s="162"/>
      <c r="AB17" s="198">
        <f t="shared" si="4"/>
        <v>17.829999999999998</v>
      </c>
      <c r="AC17" s="198">
        <f t="shared" si="1"/>
        <v>199.33999999999997</v>
      </c>
      <c r="AD17" s="198">
        <f t="shared" si="2"/>
        <v>6.06</v>
      </c>
      <c r="AE17" s="198">
        <f t="shared" si="5"/>
        <v>223.22999999999996</v>
      </c>
      <c r="AF17" s="190">
        <f t="shared" si="3"/>
        <v>0.89298033418447342</v>
      </c>
    </row>
    <row r="18" spans="1:37" x14ac:dyDescent="0.25">
      <c r="A18" s="44" t="s">
        <v>60</v>
      </c>
      <c r="B18" s="45">
        <v>0.55000000000000004</v>
      </c>
      <c r="C18" s="45"/>
      <c r="D18" s="45"/>
      <c r="E18" s="45"/>
      <c r="F18" s="45"/>
      <c r="G18" s="45"/>
      <c r="H18" s="45"/>
      <c r="I18" s="45">
        <v>1.58</v>
      </c>
      <c r="J18" s="45">
        <v>6.37</v>
      </c>
      <c r="K18" s="45">
        <v>21.72</v>
      </c>
      <c r="L18" s="45">
        <v>0.4</v>
      </c>
      <c r="M18" s="45"/>
      <c r="N18" s="45">
        <v>1.29</v>
      </c>
      <c r="O18" s="45">
        <v>5.82</v>
      </c>
      <c r="P18" s="45">
        <v>3.81</v>
      </c>
      <c r="Q18" s="45">
        <v>6.8000000000000007</v>
      </c>
      <c r="R18" s="45">
        <v>14.78</v>
      </c>
      <c r="S18" s="45">
        <v>15.860000000000001</v>
      </c>
      <c r="T18" s="45">
        <v>35.31</v>
      </c>
      <c r="U18" s="45">
        <v>15.62</v>
      </c>
      <c r="V18" s="45">
        <v>20.509999999999998</v>
      </c>
      <c r="W18" s="45">
        <v>13.83</v>
      </c>
      <c r="X18" s="45">
        <v>0.06</v>
      </c>
      <c r="Y18" s="45">
        <v>164.31</v>
      </c>
      <c r="Z18" s="160">
        <f t="shared" si="0"/>
        <v>4.5147043186027748E-3</v>
      </c>
      <c r="AA18" s="162"/>
      <c r="AB18" s="197">
        <f t="shared" si="4"/>
        <v>78.98</v>
      </c>
      <c r="AC18" s="197">
        <f t="shared" si="1"/>
        <v>85.27</v>
      </c>
      <c r="AD18" s="197">
        <f t="shared" si="2"/>
        <v>0.06</v>
      </c>
      <c r="AE18" s="197">
        <f t="shared" si="5"/>
        <v>164.31</v>
      </c>
      <c r="AF18" s="189">
        <f t="shared" si="3"/>
        <v>0.51895806706834635</v>
      </c>
    </row>
    <row r="19" spans="1:37" x14ac:dyDescent="0.25">
      <c r="A19" s="13" t="s">
        <v>22</v>
      </c>
      <c r="B19" s="14"/>
      <c r="C19" s="14"/>
      <c r="D19" s="14"/>
      <c r="E19" s="14"/>
      <c r="F19" s="14"/>
      <c r="G19" s="14"/>
      <c r="H19" s="14"/>
      <c r="I19" s="14">
        <v>1.58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>
        <v>0.63</v>
      </c>
      <c r="V19" s="14"/>
      <c r="W19" s="14"/>
      <c r="X19" s="14"/>
      <c r="Y19" s="14">
        <v>2.21</v>
      </c>
      <c r="Z19" s="26">
        <f t="shared" si="0"/>
        <v>6.0723611125994354E-5</v>
      </c>
      <c r="AA19" s="162"/>
      <c r="AB19" s="198">
        <f t="shared" si="4"/>
        <v>1.58</v>
      </c>
      <c r="AC19" s="198">
        <f t="shared" si="1"/>
        <v>0.63</v>
      </c>
      <c r="AD19" s="198">
        <f t="shared" si="2"/>
        <v>0</v>
      </c>
      <c r="AE19" s="198">
        <f t="shared" si="5"/>
        <v>2.21</v>
      </c>
      <c r="AF19" s="190">
        <f t="shared" si="3"/>
        <v>0.28506787330316741</v>
      </c>
    </row>
    <row r="20" spans="1:37" x14ac:dyDescent="0.25">
      <c r="A20" s="13" t="s">
        <v>23</v>
      </c>
      <c r="B20" s="14">
        <v>0.54</v>
      </c>
      <c r="C20" s="14"/>
      <c r="D20" s="14"/>
      <c r="E20" s="14"/>
      <c r="F20" s="14"/>
      <c r="G20" s="14"/>
      <c r="H20" s="14"/>
      <c r="I20" s="14"/>
      <c r="J20" s="14"/>
      <c r="K20" s="14"/>
      <c r="L20" s="14">
        <v>0.4</v>
      </c>
      <c r="M20" s="14"/>
      <c r="N20" s="14"/>
      <c r="O20" s="14">
        <v>0.75</v>
      </c>
      <c r="P20" s="14"/>
      <c r="Q20" s="14"/>
      <c r="R20" s="14">
        <v>0.06</v>
      </c>
      <c r="S20" s="14"/>
      <c r="T20" s="14"/>
      <c r="U20" s="14">
        <v>0.47</v>
      </c>
      <c r="V20" s="14"/>
      <c r="W20" s="14"/>
      <c r="X20" s="14"/>
      <c r="Y20" s="14">
        <v>2.2199999999999998</v>
      </c>
      <c r="Z20" s="26">
        <f t="shared" si="0"/>
        <v>6.0998378597152693E-5</v>
      </c>
      <c r="AA20" s="162"/>
      <c r="AB20" s="198">
        <f t="shared" si="4"/>
        <v>1.75</v>
      </c>
      <c r="AC20" s="198">
        <f t="shared" si="1"/>
        <v>0.47</v>
      </c>
      <c r="AD20" s="198">
        <f t="shared" si="2"/>
        <v>0</v>
      </c>
      <c r="AE20" s="198">
        <f t="shared" si="5"/>
        <v>2.2199999999999998</v>
      </c>
      <c r="AF20" s="190">
        <f t="shared" si="3"/>
        <v>0.21171171171171171</v>
      </c>
    </row>
    <row r="21" spans="1:37" x14ac:dyDescent="0.25">
      <c r="A21" s="13" t="s">
        <v>24</v>
      </c>
      <c r="B21" s="14">
        <v>0.01</v>
      </c>
      <c r="C21" s="14"/>
      <c r="D21" s="14"/>
      <c r="E21" s="14"/>
      <c r="F21" s="14"/>
      <c r="G21" s="14"/>
      <c r="H21" s="14"/>
      <c r="I21" s="14"/>
      <c r="J21" s="14">
        <v>6.37</v>
      </c>
      <c r="K21" s="14">
        <v>21.72</v>
      </c>
      <c r="L21" s="14"/>
      <c r="M21" s="14"/>
      <c r="N21" s="14">
        <v>1.29</v>
      </c>
      <c r="O21" s="14">
        <v>5.07</v>
      </c>
      <c r="P21" s="14">
        <v>3.81</v>
      </c>
      <c r="Q21" s="14">
        <v>6.8000000000000007</v>
      </c>
      <c r="R21" s="14">
        <v>14.719999999999999</v>
      </c>
      <c r="S21" s="14">
        <v>15.860000000000001</v>
      </c>
      <c r="T21" s="14">
        <v>35.31</v>
      </c>
      <c r="U21" s="14">
        <v>14.52</v>
      </c>
      <c r="V21" s="14">
        <v>20.509999999999998</v>
      </c>
      <c r="W21" s="14">
        <v>13.83</v>
      </c>
      <c r="X21" s="14">
        <v>0.06</v>
      </c>
      <c r="Y21" s="14">
        <v>159.88</v>
      </c>
      <c r="Z21" s="26">
        <f t="shared" si="0"/>
        <v>4.3929823288796277E-3</v>
      </c>
      <c r="AA21" s="162"/>
      <c r="AB21" s="198">
        <f t="shared" si="4"/>
        <v>75.649999999999991</v>
      </c>
      <c r="AC21" s="198">
        <f t="shared" si="1"/>
        <v>84.17</v>
      </c>
      <c r="AD21" s="198">
        <f t="shared" si="2"/>
        <v>0.06</v>
      </c>
      <c r="AE21" s="198">
        <f t="shared" si="5"/>
        <v>159.88</v>
      </c>
      <c r="AF21" s="190">
        <f t="shared" si="3"/>
        <v>0.52645734300725544</v>
      </c>
    </row>
    <row r="22" spans="1:37" x14ac:dyDescent="0.25">
      <c r="A22" s="44" t="s">
        <v>51</v>
      </c>
      <c r="B22" s="45">
        <f>SUM(B23:B26)</f>
        <v>119.28999999999999</v>
      </c>
      <c r="C22" s="45">
        <f t="shared" ref="C22:Y22" si="8">SUM(C23:C26)</f>
        <v>18.04</v>
      </c>
      <c r="D22" s="45">
        <f t="shared" si="8"/>
        <v>1.17</v>
      </c>
      <c r="E22" s="45">
        <f t="shared" si="8"/>
        <v>2.61</v>
      </c>
      <c r="F22" s="45">
        <f t="shared" si="8"/>
        <v>0.18</v>
      </c>
      <c r="G22" s="45">
        <f t="shared" si="8"/>
        <v>5.59</v>
      </c>
      <c r="H22" s="45">
        <f t="shared" si="8"/>
        <v>0</v>
      </c>
      <c r="I22" s="45">
        <f t="shared" si="8"/>
        <v>0.04</v>
      </c>
      <c r="J22" s="45">
        <f t="shared" si="8"/>
        <v>0.08</v>
      </c>
      <c r="K22" s="45">
        <f t="shared" si="8"/>
        <v>0</v>
      </c>
      <c r="L22" s="45">
        <f t="shared" si="8"/>
        <v>2.91</v>
      </c>
      <c r="M22" s="45">
        <f t="shared" si="8"/>
        <v>13.469999999999999</v>
      </c>
      <c r="N22" s="45">
        <f t="shared" si="8"/>
        <v>1.07</v>
      </c>
      <c r="O22" s="45">
        <f t="shared" si="8"/>
        <v>0.15</v>
      </c>
      <c r="P22" s="45">
        <f t="shared" si="8"/>
        <v>0</v>
      </c>
      <c r="Q22" s="45">
        <f t="shared" si="8"/>
        <v>0</v>
      </c>
      <c r="R22" s="45">
        <f t="shared" si="8"/>
        <v>0.85</v>
      </c>
      <c r="S22" s="45">
        <f t="shared" si="8"/>
        <v>6.68</v>
      </c>
      <c r="T22" s="45">
        <f t="shared" si="8"/>
        <v>4.2299999999999995</v>
      </c>
      <c r="U22" s="45">
        <f t="shared" si="8"/>
        <v>27.769999999999996</v>
      </c>
      <c r="V22" s="45">
        <f t="shared" si="8"/>
        <v>16.59</v>
      </c>
      <c r="W22" s="45">
        <f t="shared" si="8"/>
        <v>11.129999999999999</v>
      </c>
      <c r="X22" s="45">
        <f t="shared" si="8"/>
        <v>0</v>
      </c>
      <c r="Y22" s="45">
        <f t="shared" si="8"/>
        <v>231.85000000000005</v>
      </c>
      <c r="Z22" s="46">
        <f t="shared" si="0"/>
        <v>6.3704838188062421E-3</v>
      </c>
      <c r="AA22" s="162"/>
      <c r="AB22" s="197">
        <f t="shared" si="4"/>
        <v>172.13</v>
      </c>
      <c r="AC22" s="197">
        <f t="shared" si="1"/>
        <v>59.72</v>
      </c>
      <c r="AD22" s="197">
        <f t="shared" si="2"/>
        <v>0</v>
      </c>
      <c r="AE22" s="197">
        <f t="shared" si="5"/>
        <v>231.85</v>
      </c>
      <c r="AF22" s="189">
        <f t="shared" si="3"/>
        <v>0.25758033211127884</v>
      </c>
      <c r="AI22" s="251" t="s">
        <v>294</v>
      </c>
      <c r="AJ22" s="251" t="s">
        <v>103</v>
      </c>
      <c r="AK22" s="251" t="s">
        <v>295</v>
      </c>
    </row>
    <row r="23" spans="1:37" x14ac:dyDescent="0.25">
      <c r="A23" s="151" t="s">
        <v>25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>
        <v>0.4</v>
      </c>
      <c r="T23" s="14"/>
      <c r="U23" s="14">
        <v>1.65</v>
      </c>
      <c r="V23" s="14">
        <v>0.18</v>
      </c>
      <c r="W23" s="14"/>
      <c r="X23" s="14"/>
      <c r="Y23" s="14">
        <v>2.23</v>
      </c>
      <c r="Z23" s="26">
        <f t="shared" si="0"/>
        <v>6.1273146068311046E-5</v>
      </c>
      <c r="AA23" s="162"/>
      <c r="AB23" s="198">
        <f t="shared" si="4"/>
        <v>0.4</v>
      </c>
      <c r="AC23" s="198">
        <f t="shared" si="1"/>
        <v>1.8299999999999998</v>
      </c>
      <c r="AD23" s="198">
        <f t="shared" si="2"/>
        <v>0</v>
      </c>
      <c r="AE23" s="198">
        <f t="shared" si="5"/>
        <v>2.23</v>
      </c>
      <c r="AF23" s="190">
        <f t="shared" si="3"/>
        <v>0.82062780269058289</v>
      </c>
      <c r="AH23" s="13" t="s">
        <v>33</v>
      </c>
      <c r="AI23" s="198">
        <v>5687.170000000001</v>
      </c>
      <c r="AJ23" s="162">
        <v>8318.77</v>
      </c>
      <c r="AK23" s="249">
        <f>AI23/AJ23</f>
        <v>0.68365515575018909</v>
      </c>
    </row>
    <row r="24" spans="1:37" x14ac:dyDescent="0.25">
      <c r="A24" s="13" t="s">
        <v>26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>
        <v>2.54</v>
      </c>
      <c r="X24" s="14"/>
      <c r="Y24" s="14">
        <v>2.54</v>
      </c>
      <c r="Z24" s="26"/>
      <c r="AA24" s="162"/>
      <c r="AB24" s="198">
        <f t="shared" si="4"/>
        <v>0</v>
      </c>
      <c r="AC24" s="198">
        <f t="shared" si="1"/>
        <v>2.54</v>
      </c>
      <c r="AD24" s="198">
        <f t="shared" si="2"/>
        <v>0</v>
      </c>
      <c r="AE24" s="198">
        <f t="shared" si="5"/>
        <v>2.54</v>
      </c>
      <c r="AF24" s="190">
        <f t="shared" si="3"/>
        <v>1</v>
      </c>
      <c r="AH24" s="13" t="s">
        <v>30</v>
      </c>
      <c r="AI24" s="198">
        <v>5450.3100000000013</v>
      </c>
      <c r="AJ24" s="162">
        <v>8969.9300000000021</v>
      </c>
      <c r="AK24" s="249">
        <f t="shared" ref="AK24:AK32" si="9">AI24/AJ24</f>
        <v>0.60762012635550111</v>
      </c>
    </row>
    <row r="25" spans="1:37" x14ac:dyDescent="0.25">
      <c r="A25" s="13" t="s">
        <v>27</v>
      </c>
      <c r="B25" s="14">
        <v>117.57</v>
      </c>
      <c r="C25" s="14">
        <v>18.04</v>
      </c>
      <c r="D25" s="14">
        <v>1.17</v>
      </c>
      <c r="E25" s="14">
        <v>2.61</v>
      </c>
      <c r="F25" s="14">
        <v>0.18</v>
      </c>
      <c r="G25" s="14">
        <v>5.59</v>
      </c>
      <c r="H25" s="14"/>
      <c r="I25" s="14"/>
      <c r="J25" s="14">
        <v>0.08</v>
      </c>
      <c r="K25" s="14"/>
      <c r="L25" s="14">
        <v>2.83</v>
      </c>
      <c r="M25" s="14">
        <v>13.44</v>
      </c>
      <c r="N25" s="14">
        <v>1.07</v>
      </c>
      <c r="O25" s="14">
        <v>0.15</v>
      </c>
      <c r="P25" s="14"/>
      <c r="Q25" s="14"/>
      <c r="R25" s="14">
        <v>0.85</v>
      </c>
      <c r="S25" s="14">
        <v>3.52</v>
      </c>
      <c r="T25" s="14">
        <v>4.21</v>
      </c>
      <c r="U25" s="14">
        <v>25.939999999999998</v>
      </c>
      <c r="V25" s="14">
        <v>16.41</v>
      </c>
      <c r="W25" s="14">
        <v>7.0500000000000007</v>
      </c>
      <c r="X25" s="14"/>
      <c r="Y25" s="14">
        <v>220.71000000000004</v>
      </c>
      <c r="Z25" s="26">
        <f t="shared" ref="Z25:Z42" si="10">Y25/$Y$56</f>
        <v>6.0643928559358448E-3</v>
      </c>
      <c r="AA25" s="162"/>
      <c r="AB25" s="198">
        <f t="shared" si="4"/>
        <v>167.10000000000002</v>
      </c>
      <c r="AC25" s="198">
        <f t="shared" si="1"/>
        <v>53.61</v>
      </c>
      <c r="AD25" s="198">
        <f t="shared" si="2"/>
        <v>0</v>
      </c>
      <c r="AE25" s="198">
        <f t="shared" si="5"/>
        <v>220.71000000000004</v>
      </c>
      <c r="AF25" s="190">
        <f t="shared" si="3"/>
        <v>0.24289792034796787</v>
      </c>
      <c r="AH25" s="13" t="s">
        <v>29</v>
      </c>
      <c r="AI25" s="198">
        <v>4931.62</v>
      </c>
      <c r="AJ25" s="162">
        <v>6881.86</v>
      </c>
      <c r="AK25" s="249">
        <f t="shared" si="9"/>
        <v>0.71661149747306685</v>
      </c>
    </row>
    <row r="26" spans="1:37" x14ac:dyDescent="0.25">
      <c r="A26" s="13" t="s">
        <v>28</v>
      </c>
      <c r="B26" s="14">
        <v>1.72</v>
      </c>
      <c r="C26" s="14"/>
      <c r="D26" s="14"/>
      <c r="E26" s="14"/>
      <c r="F26" s="14"/>
      <c r="G26" s="14"/>
      <c r="H26" s="14"/>
      <c r="I26" s="14">
        <v>0.04</v>
      </c>
      <c r="J26" s="14"/>
      <c r="K26" s="14"/>
      <c r="L26" s="14">
        <v>0.08</v>
      </c>
      <c r="M26" s="14">
        <v>0.03</v>
      </c>
      <c r="N26" s="14"/>
      <c r="O26" s="14"/>
      <c r="P26" s="14"/>
      <c r="Q26" s="14"/>
      <c r="R26" s="14"/>
      <c r="S26" s="14">
        <v>2.76</v>
      </c>
      <c r="T26" s="14">
        <v>0.02</v>
      </c>
      <c r="U26" s="14">
        <v>0.18</v>
      </c>
      <c r="V26" s="14"/>
      <c r="W26" s="14">
        <v>1.54</v>
      </c>
      <c r="X26" s="14"/>
      <c r="Y26" s="14">
        <v>6.3699999999999992</v>
      </c>
      <c r="Z26" s="26">
        <f t="shared" si="10"/>
        <v>1.7502687912786607E-4</v>
      </c>
      <c r="AA26" s="162"/>
      <c r="AB26" s="198">
        <f t="shared" si="4"/>
        <v>4.63</v>
      </c>
      <c r="AC26" s="198">
        <f t="shared" si="1"/>
        <v>1.74</v>
      </c>
      <c r="AD26" s="198">
        <f t="shared" si="2"/>
        <v>0</v>
      </c>
      <c r="AE26" s="198">
        <f t="shared" si="5"/>
        <v>6.37</v>
      </c>
      <c r="AF26" s="190">
        <f t="shared" si="3"/>
        <v>0.27315541601255888</v>
      </c>
      <c r="AH26" s="13" t="s">
        <v>31</v>
      </c>
      <c r="AI26" s="198">
        <v>3724.8999999999996</v>
      </c>
      <c r="AJ26" s="162">
        <v>4882.4399999999987</v>
      </c>
      <c r="AK26" s="249">
        <f t="shared" si="9"/>
        <v>0.76291772146713543</v>
      </c>
    </row>
    <row r="27" spans="1:37" x14ac:dyDescent="0.25">
      <c r="A27" s="44" t="s">
        <v>52</v>
      </c>
      <c r="B27" s="45">
        <v>229.52000000000004</v>
      </c>
      <c r="C27" s="45">
        <v>226.57</v>
      </c>
      <c r="D27" s="45">
        <v>101.87</v>
      </c>
      <c r="E27" s="45">
        <v>117.01</v>
      </c>
      <c r="F27" s="45">
        <v>101.63999999999999</v>
      </c>
      <c r="G27" s="45">
        <v>163.21</v>
      </c>
      <c r="H27" s="45">
        <v>128.88</v>
      </c>
      <c r="I27" s="45">
        <v>208.18</v>
      </c>
      <c r="J27" s="45">
        <v>140.31</v>
      </c>
      <c r="K27" s="45">
        <v>82.01</v>
      </c>
      <c r="L27" s="45">
        <v>255.44</v>
      </c>
      <c r="M27" s="45">
        <v>311.38</v>
      </c>
      <c r="N27" s="45">
        <v>334.46</v>
      </c>
      <c r="O27" s="45">
        <v>392.45</v>
      </c>
      <c r="P27" s="45">
        <v>536.13</v>
      </c>
      <c r="Q27" s="45">
        <v>838.68999999999994</v>
      </c>
      <c r="R27" s="45">
        <v>2328.6799999999998</v>
      </c>
      <c r="S27" s="45">
        <v>2816.33</v>
      </c>
      <c r="T27" s="45">
        <v>3852.6400000000003</v>
      </c>
      <c r="U27" s="45">
        <v>5580.67</v>
      </c>
      <c r="V27" s="45">
        <v>6355.54</v>
      </c>
      <c r="W27" s="45">
        <v>4134.93</v>
      </c>
      <c r="X27" s="45">
        <v>14.32</v>
      </c>
      <c r="Y27" s="45">
        <v>29250.86</v>
      </c>
      <c r="Z27" s="46">
        <f t="shared" si="10"/>
        <v>0.80371848314068017</v>
      </c>
      <c r="AA27" s="162"/>
      <c r="AB27" s="197">
        <f t="shared" si="4"/>
        <v>9312.76</v>
      </c>
      <c r="AC27" s="197">
        <f t="shared" si="1"/>
        <v>19923.780000000002</v>
      </c>
      <c r="AD27" s="197">
        <f t="shared" si="2"/>
        <v>14.32</v>
      </c>
      <c r="AE27" s="197">
        <f t="shared" si="5"/>
        <v>29250.86</v>
      </c>
      <c r="AF27" s="189">
        <f t="shared" si="3"/>
        <v>0.68113484526608803</v>
      </c>
      <c r="AH27" s="13" t="s">
        <v>14</v>
      </c>
      <c r="AI27" s="198">
        <v>668.96</v>
      </c>
      <c r="AJ27" s="162">
        <v>1079.6699999999998</v>
      </c>
      <c r="AK27" s="249">
        <f t="shared" si="9"/>
        <v>0.61959672863004445</v>
      </c>
    </row>
    <row r="28" spans="1:37" x14ac:dyDescent="0.25">
      <c r="A28" s="13" t="s">
        <v>29</v>
      </c>
      <c r="B28" s="14">
        <v>55.050000000000004</v>
      </c>
      <c r="C28" s="14">
        <v>53.01</v>
      </c>
      <c r="D28" s="14">
        <v>43.72</v>
      </c>
      <c r="E28" s="14">
        <v>18.079999999999998</v>
      </c>
      <c r="F28" s="14">
        <v>56.52</v>
      </c>
      <c r="G28" s="14">
        <v>35.6</v>
      </c>
      <c r="H28" s="14">
        <v>25.81</v>
      </c>
      <c r="I28" s="14">
        <v>14.19</v>
      </c>
      <c r="J28" s="14">
        <v>36.450000000000003</v>
      </c>
      <c r="K28" s="14">
        <v>14</v>
      </c>
      <c r="L28" s="14">
        <v>41.43</v>
      </c>
      <c r="M28" s="14">
        <v>66.73</v>
      </c>
      <c r="N28" s="14">
        <v>46.72</v>
      </c>
      <c r="O28" s="14">
        <v>47.85</v>
      </c>
      <c r="P28" s="14">
        <v>141.46</v>
      </c>
      <c r="Q28" s="14">
        <v>152.92000000000002</v>
      </c>
      <c r="R28" s="14">
        <v>468.22999999999996</v>
      </c>
      <c r="S28" s="14">
        <v>630.53</v>
      </c>
      <c r="T28" s="14">
        <v>859.30000000000007</v>
      </c>
      <c r="U28" s="14">
        <v>1376.52</v>
      </c>
      <c r="V28" s="14">
        <v>1605.04</v>
      </c>
      <c r="W28" s="14">
        <v>1090.7599999999998</v>
      </c>
      <c r="X28" s="14">
        <v>1.94</v>
      </c>
      <c r="Y28" s="14">
        <v>6881.86</v>
      </c>
      <c r="Z28" s="26">
        <f t="shared" si="10"/>
        <v>0.18909112690657714</v>
      </c>
      <c r="AA28" s="162"/>
      <c r="AB28" s="198">
        <f t="shared" si="4"/>
        <v>1948.3000000000002</v>
      </c>
      <c r="AC28" s="198">
        <f t="shared" si="1"/>
        <v>4931.62</v>
      </c>
      <c r="AD28" s="198">
        <f t="shared" si="2"/>
        <v>1.94</v>
      </c>
      <c r="AE28" s="198">
        <f t="shared" si="5"/>
        <v>6881.86</v>
      </c>
      <c r="AF28" s="190">
        <f t="shared" si="3"/>
        <v>0.71661149747306685</v>
      </c>
      <c r="AH28" s="13" t="s">
        <v>43</v>
      </c>
      <c r="AI28" s="198">
        <v>623.01</v>
      </c>
      <c r="AJ28" s="162">
        <v>1051.17</v>
      </c>
      <c r="AK28" s="249">
        <f t="shared" si="9"/>
        <v>0.59268243956733924</v>
      </c>
    </row>
    <row r="29" spans="1:37" x14ac:dyDescent="0.25">
      <c r="A29" s="13" t="s">
        <v>30</v>
      </c>
      <c r="B29" s="14">
        <v>45.47</v>
      </c>
      <c r="C29" s="14">
        <v>86.97</v>
      </c>
      <c r="D29" s="14">
        <v>56.28</v>
      </c>
      <c r="E29" s="14">
        <v>46.010000000000005</v>
      </c>
      <c r="F29" s="14">
        <v>15.329999999999998</v>
      </c>
      <c r="G29" s="14">
        <v>72.300000000000011</v>
      </c>
      <c r="H29" s="14">
        <v>26.68</v>
      </c>
      <c r="I29" s="14">
        <v>80.810000000000016</v>
      </c>
      <c r="J29" s="14">
        <v>46.980000000000004</v>
      </c>
      <c r="K29" s="14">
        <v>23.57</v>
      </c>
      <c r="L29" s="14">
        <v>65.010000000000005</v>
      </c>
      <c r="M29" s="14">
        <v>108.25000000000001</v>
      </c>
      <c r="N29" s="14">
        <v>175.48</v>
      </c>
      <c r="O29" s="14">
        <v>182.55</v>
      </c>
      <c r="P29" s="14">
        <v>218.47</v>
      </c>
      <c r="Q29" s="14">
        <v>399.59</v>
      </c>
      <c r="R29" s="14">
        <v>918.84</v>
      </c>
      <c r="S29" s="14">
        <v>946.88</v>
      </c>
      <c r="T29" s="14">
        <v>1289.25</v>
      </c>
      <c r="U29" s="14">
        <v>1631.7300000000002</v>
      </c>
      <c r="V29" s="14">
        <v>1464.98</v>
      </c>
      <c r="W29" s="14">
        <v>1064.3500000000001</v>
      </c>
      <c r="X29" s="14">
        <v>4.1500000000000004</v>
      </c>
      <c r="Y29" s="14">
        <v>8969.93</v>
      </c>
      <c r="Z29" s="26">
        <f t="shared" si="10"/>
        <v>0.2464644982567378</v>
      </c>
      <c r="AA29" s="162"/>
      <c r="AB29" s="198">
        <f t="shared" si="4"/>
        <v>3515.4700000000003</v>
      </c>
      <c r="AC29" s="198">
        <f t="shared" si="1"/>
        <v>5450.3100000000013</v>
      </c>
      <c r="AD29" s="198">
        <f t="shared" si="2"/>
        <v>4.1500000000000004</v>
      </c>
      <c r="AE29" s="198">
        <f t="shared" si="5"/>
        <v>8969.9300000000021</v>
      </c>
      <c r="AF29" s="190">
        <f t="shared" si="3"/>
        <v>0.60762012635550111</v>
      </c>
      <c r="AH29" s="13" t="s">
        <v>41</v>
      </c>
      <c r="AI29" s="198">
        <v>451.26</v>
      </c>
      <c r="AJ29" s="162">
        <v>629.01</v>
      </c>
      <c r="AK29" s="249">
        <f t="shared" si="9"/>
        <v>0.71741307769351836</v>
      </c>
    </row>
    <row r="30" spans="1:37" x14ac:dyDescent="0.25">
      <c r="A30" s="13" t="s">
        <v>31</v>
      </c>
      <c r="B30" s="14">
        <v>82.250000000000014</v>
      </c>
      <c r="C30" s="14">
        <v>31.47</v>
      </c>
      <c r="D30" s="14">
        <v>1.87</v>
      </c>
      <c r="E30" s="14">
        <v>5.61</v>
      </c>
      <c r="F30" s="14">
        <v>0.56999999999999995</v>
      </c>
      <c r="G30" s="14">
        <v>34.58</v>
      </c>
      <c r="H30" s="14">
        <v>30.99</v>
      </c>
      <c r="I30" s="14">
        <v>84.38</v>
      </c>
      <c r="J30" s="14">
        <v>16.630000000000003</v>
      </c>
      <c r="K30" s="14">
        <v>3.27</v>
      </c>
      <c r="L30" s="14">
        <v>3.82</v>
      </c>
      <c r="M30" s="14">
        <v>25.240000000000002</v>
      </c>
      <c r="N30" s="14">
        <v>10.06</v>
      </c>
      <c r="O30" s="14">
        <v>24.29</v>
      </c>
      <c r="P30" s="14">
        <v>29.82</v>
      </c>
      <c r="Q30" s="14">
        <v>69.17</v>
      </c>
      <c r="R30" s="14">
        <v>287.22000000000003</v>
      </c>
      <c r="S30" s="14">
        <v>411.15</v>
      </c>
      <c r="T30" s="14">
        <v>621.35</v>
      </c>
      <c r="U30" s="14">
        <v>998.31</v>
      </c>
      <c r="V30" s="14">
        <v>1365.81</v>
      </c>
      <c r="W30" s="14">
        <v>739.43000000000006</v>
      </c>
      <c r="X30" s="14">
        <v>5.15</v>
      </c>
      <c r="Y30" s="14">
        <v>4882.4399999999996</v>
      </c>
      <c r="Z30" s="26">
        <f t="shared" si="10"/>
        <v>0.13415356918823523</v>
      </c>
      <c r="AA30" s="162"/>
      <c r="AB30" s="198">
        <f t="shared" si="4"/>
        <v>1152.3899999999999</v>
      </c>
      <c r="AC30" s="198">
        <f t="shared" si="1"/>
        <v>3724.8999999999996</v>
      </c>
      <c r="AD30" s="198">
        <f t="shared" si="2"/>
        <v>5.15</v>
      </c>
      <c r="AE30" s="198">
        <f t="shared" si="5"/>
        <v>4882.4399999999987</v>
      </c>
      <c r="AF30" s="190">
        <f t="shared" si="3"/>
        <v>0.76291772146713543</v>
      </c>
      <c r="AH30" s="13" t="s">
        <v>42</v>
      </c>
      <c r="AI30" s="198">
        <v>446.01</v>
      </c>
      <c r="AJ30" s="162">
        <v>574.08000000000004</v>
      </c>
      <c r="AK30" s="249">
        <f t="shared" si="9"/>
        <v>0.77691262541806017</v>
      </c>
    </row>
    <row r="31" spans="1:37" x14ac:dyDescent="0.25">
      <c r="A31" s="13" t="s">
        <v>32</v>
      </c>
      <c r="B31" s="14"/>
      <c r="C31" s="14"/>
      <c r="D31" s="14"/>
      <c r="E31" s="14"/>
      <c r="F31" s="14"/>
      <c r="G31" s="14">
        <v>1.5</v>
      </c>
      <c r="H31" s="14"/>
      <c r="I31" s="14"/>
      <c r="J31" s="14"/>
      <c r="K31" s="14"/>
      <c r="L31" s="14">
        <v>0.12</v>
      </c>
      <c r="M31" s="14">
        <v>4.79</v>
      </c>
      <c r="N31" s="14"/>
      <c r="O31" s="14">
        <v>1.2</v>
      </c>
      <c r="P31" s="14"/>
      <c r="Q31" s="14">
        <v>3.64</v>
      </c>
      <c r="R31" s="14">
        <v>33.869999999999997</v>
      </c>
      <c r="S31" s="14">
        <v>22.84</v>
      </c>
      <c r="T31" s="14">
        <v>47.17</v>
      </c>
      <c r="U31" s="14">
        <v>41.33</v>
      </c>
      <c r="V31" s="14">
        <v>17.739999999999998</v>
      </c>
      <c r="W31" s="14">
        <v>23.54</v>
      </c>
      <c r="X31" s="14">
        <v>0.12</v>
      </c>
      <c r="Y31" s="14">
        <v>197.85999999999999</v>
      </c>
      <c r="Z31" s="26">
        <f t="shared" si="10"/>
        <v>5.4365491843390238E-3</v>
      </c>
      <c r="AA31" s="162"/>
      <c r="AB31" s="198">
        <f t="shared" si="4"/>
        <v>67.959999999999994</v>
      </c>
      <c r="AC31" s="198">
        <f t="shared" si="1"/>
        <v>129.78</v>
      </c>
      <c r="AD31" s="198">
        <f t="shared" si="2"/>
        <v>0.12</v>
      </c>
      <c r="AE31" s="198">
        <f t="shared" si="5"/>
        <v>197.86</v>
      </c>
      <c r="AF31" s="190">
        <f t="shared" si="3"/>
        <v>0.6559183260891539</v>
      </c>
      <c r="AH31" s="13" t="s">
        <v>18</v>
      </c>
      <c r="AI31" s="198">
        <v>223.4</v>
      </c>
      <c r="AJ31" s="162">
        <v>375.62000000000006</v>
      </c>
      <c r="AK31" s="249">
        <f t="shared" si="9"/>
        <v>0.59475001331132515</v>
      </c>
    </row>
    <row r="32" spans="1:37" x14ac:dyDescent="0.25">
      <c r="A32" s="13" t="s">
        <v>33</v>
      </c>
      <c r="B32" s="14">
        <v>46.75</v>
      </c>
      <c r="C32" s="14">
        <v>55.12</v>
      </c>
      <c r="D32" s="14"/>
      <c r="E32" s="14">
        <v>47.31</v>
      </c>
      <c r="F32" s="14">
        <v>29.22</v>
      </c>
      <c r="G32" s="14">
        <v>19.23</v>
      </c>
      <c r="H32" s="14">
        <v>45.4</v>
      </c>
      <c r="I32" s="14">
        <v>28.8</v>
      </c>
      <c r="J32" s="14">
        <v>40.25</v>
      </c>
      <c r="K32" s="14">
        <v>41.17</v>
      </c>
      <c r="L32" s="14">
        <v>145.06</v>
      </c>
      <c r="M32" s="14">
        <v>106.36999999999999</v>
      </c>
      <c r="N32" s="14">
        <v>102.19999999999999</v>
      </c>
      <c r="O32" s="14">
        <v>136.56</v>
      </c>
      <c r="P32" s="14">
        <v>146.38000000000002</v>
      </c>
      <c r="Q32" s="14">
        <v>213.37</v>
      </c>
      <c r="R32" s="14">
        <v>620.52</v>
      </c>
      <c r="S32" s="14">
        <v>804.93000000000006</v>
      </c>
      <c r="T32" s="14">
        <v>1035.57</v>
      </c>
      <c r="U32" s="14">
        <v>1532.7800000000002</v>
      </c>
      <c r="V32" s="14">
        <v>1901.9700000000003</v>
      </c>
      <c r="W32" s="14">
        <v>1216.8500000000001</v>
      </c>
      <c r="X32" s="14">
        <v>2.96</v>
      </c>
      <c r="Y32" s="14">
        <v>8318.7699999999986</v>
      </c>
      <c r="Z32" s="26">
        <f t="shared" si="10"/>
        <v>0.22857273960479094</v>
      </c>
      <c r="AA32" s="162"/>
      <c r="AB32" s="198">
        <f t="shared" si="4"/>
        <v>2628.64</v>
      </c>
      <c r="AC32" s="198">
        <f t="shared" si="1"/>
        <v>5687.170000000001</v>
      </c>
      <c r="AD32" s="198">
        <f t="shared" si="2"/>
        <v>2.96</v>
      </c>
      <c r="AE32" s="198">
        <f t="shared" si="5"/>
        <v>8318.77</v>
      </c>
      <c r="AF32" s="190">
        <f t="shared" si="3"/>
        <v>0.68365515575018909</v>
      </c>
      <c r="AH32" s="13" t="s">
        <v>16</v>
      </c>
      <c r="AI32" s="198">
        <v>205.37</v>
      </c>
      <c r="AJ32" s="162">
        <v>426.77</v>
      </c>
      <c r="AK32" s="249">
        <f t="shared" si="9"/>
        <v>0.48121939217845683</v>
      </c>
    </row>
    <row r="33" spans="1:37" x14ac:dyDescent="0.25">
      <c r="A33" s="44" t="s">
        <v>53</v>
      </c>
      <c r="B33" s="45">
        <v>1.29</v>
      </c>
      <c r="C33" s="45">
        <v>0.51</v>
      </c>
      <c r="D33" s="45"/>
      <c r="E33" s="45"/>
      <c r="F33" s="45"/>
      <c r="G33" s="45">
        <v>0.96</v>
      </c>
      <c r="H33" s="45">
        <v>22.88</v>
      </c>
      <c r="I33" s="45">
        <v>0.32</v>
      </c>
      <c r="J33" s="45"/>
      <c r="K33" s="45">
        <v>8.08</v>
      </c>
      <c r="L33" s="45">
        <v>11.78</v>
      </c>
      <c r="M33" s="45">
        <v>18.95</v>
      </c>
      <c r="N33" s="45">
        <v>12.620000000000001</v>
      </c>
      <c r="O33" s="45">
        <v>47.91</v>
      </c>
      <c r="P33" s="45">
        <v>39.89</v>
      </c>
      <c r="Q33" s="45">
        <v>66.539999999999992</v>
      </c>
      <c r="R33" s="45">
        <v>85.640000000000015</v>
      </c>
      <c r="S33" s="45">
        <v>127.47999999999999</v>
      </c>
      <c r="T33" s="45">
        <v>235.76</v>
      </c>
      <c r="U33" s="45">
        <v>419.38</v>
      </c>
      <c r="V33" s="45">
        <v>329.34000000000003</v>
      </c>
      <c r="W33" s="45">
        <v>324.82</v>
      </c>
      <c r="X33" s="45">
        <v>7.5200000000000005</v>
      </c>
      <c r="Y33" s="45">
        <v>1761.67</v>
      </c>
      <c r="Z33" s="46">
        <f t="shared" si="10"/>
        <v>4.8404961091552255E-2</v>
      </c>
      <c r="AA33" s="162"/>
      <c r="AB33" s="197">
        <f t="shared" si="4"/>
        <v>444.85</v>
      </c>
      <c r="AC33" s="197">
        <f t="shared" si="1"/>
        <v>1309.3</v>
      </c>
      <c r="AD33" s="197">
        <f t="shared" si="2"/>
        <v>7.5200000000000005</v>
      </c>
      <c r="AE33" s="197">
        <f t="shared" si="5"/>
        <v>1761.67</v>
      </c>
      <c r="AF33" s="189">
        <f t="shared" si="3"/>
        <v>0.74321524462583788</v>
      </c>
      <c r="AH33" s="13"/>
      <c r="AI33" s="162"/>
      <c r="AJ33" s="162"/>
      <c r="AK33" s="249"/>
    </row>
    <row r="34" spans="1:37" x14ac:dyDescent="0.25">
      <c r="A34" s="13" t="s">
        <v>34</v>
      </c>
      <c r="B34" s="14"/>
      <c r="C34" s="14"/>
      <c r="D34" s="14"/>
      <c r="E34" s="14"/>
      <c r="F34" s="14"/>
      <c r="G34" s="14"/>
      <c r="H34" s="14"/>
      <c r="I34" s="14"/>
      <c r="J34" s="14"/>
      <c r="K34" s="14">
        <v>7.64</v>
      </c>
      <c r="L34" s="14"/>
      <c r="M34" s="14"/>
      <c r="N34" s="14"/>
      <c r="O34" s="14"/>
      <c r="P34" s="14">
        <v>7.77</v>
      </c>
      <c r="Q34" s="14">
        <v>9.1399999999999988</v>
      </c>
      <c r="R34" s="14">
        <v>11.51</v>
      </c>
      <c r="S34" s="14">
        <v>12.39</v>
      </c>
      <c r="T34" s="14">
        <v>11.7</v>
      </c>
      <c r="U34" s="14">
        <v>15.030000000000001</v>
      </c>
      <c r="V34" s="14">
        <v>22.64</v>
      </c>
      <c r="W34" s="14"/>
      <c r="X34" s="14">
        <v>4.12</v>
      </c>
      <c r="Y34" s="14">
        <v>101.94</v>
      </c>
      <c r="Z34" s="26">
        <f t="shared" si="10"/>
        <v>2.800979600988174E-3</v>
      </c>
      <c r="AA34" s="162"/>
      <c r="AB34" s="198">
        <f t="shared" si="4"/>
        <v>48.449999999999996</v>
      </c>
      <c r="AC34" s="198">
        <f t="shared" si="1"/>
        <v>49.370000000000005</v>
      </c>
      <c r="AD34" s="198">
        <f t="shared" si="2"/>
        <v>4.12</v>
      </c>
      <c r="AE34" s="198">
        <f t="shared" si="5"/>
        <v>101.94</v>
      </c>
      <c r="AF34" s="190">
        <f t="shared" si="3"/>
        <v>0.4843044928389249</v>
      </c>
      <c r="AH34" s="13"/>
      <c r="AI34" s="162"/>
      <c r="AJ34" s="162"/>
      <c r="AK34" s="249"/>
    </row>
    <row r="35" spans="1:37" x14ac:dyDescent="0.25">
      <c r="A35" s="13" t="s">
        <v>35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>
        <v>1.88</v>
      </c>
      <c r="Q35" s="14">
        <v>4.5600000000000005</v>
      </c>
      <c r="R35" s="14">
        <v>0.54</v>
      </c>
      <c r="S35" s="14"/>
      <c r="T35" s="14">
        <v>16.09</v>
      </c>
      <c r="U35" s="14">
        <v>39.910000000000004</v>
      </c>
      <c r="V35" s="14">
        <v>10.68</v>
      </c>
      <c r="W35" s="14">
        <v>1.82</v>
      </c>
      <c r="X35" s="14"/>
      <c r="Y35" s="14">
        <v>75.47999999999999</v>
      </c>
      <c r="Z35" s="26">
        <f t="shared" si="10"/>
        <v>2.0739448723031914E-3</v>
      </c>
      <c r="AA35" s="162"/>
      <c r="AB35" s="198">
        <f t="shared" si="4"/>
        <v>6.98</v>
      </c>
      <c r="AC35" s="198">
        <f t="shared" si="1"/>
        <v>68.5</v>
      </c>
      <c r="AD35" s="198">
        <f t="shared" si="2"/>
        <v>0</v>
      </c>
      <c r="AE35" s="198">
        <f t="shared" si="5"/>
        <v>75.48</v>
      </c>
      <c r="AF35" s="190">
        <f t="shared" si="3"/>
        <v>0.90752517223105456</v>
      </c>
      <c r="AH35" s="13"/>
      <c r="AI35" s="162"/>
      <c r="AJ35" s="162"/>
      <c r="AK35" s="249"/>
    </row>
    <row r="36" spans="1:37" x14ac:dyDescent="0.25">
      <c r="A36" s="13" t="s">
        <v>36</v>
      </c>
      <c r="B36" s="14">
        <v>0.08</v>
      </c>
      <c r="C36" s="14"/>
      <c r="D36" s="14"/>
      <c r="E36" s="14"/>
      <c r="F36" s="14"/>
      <c r="G36" s="14">
        <v>0.96</v>
      </c>
      <c r="H36" s="14"/>
      <c r="I36" s="14"/>
      <c r="J36" s="14"/>
      <c r="K36" s="14"/>
      <c r="L36" s="14"/>
      <c r="M36" s="14"/>
      <c r="N36" s="14"/>
      <c r="O36" s="14"/>
      <c r="P36" s="14">
        <v>1.42</v>
      </c>
      <c r="Q36" s="14"/>
      <c r="R36" s="14"/>
      <c r="S36" s="14">
        <v>0.59</v>
      </c>
      <c r="T36" s="14"/>
      <c r="U36" s="14">
        <v>3.67</v>
      </c>
      <c r="V36" s="14">
        <v>0.97</v>
      </c>
      <c r="W36" s="14"/>
      <c r="X36" s="14"/>
      <c r="Y36" s="14">
        <v>7.6899999999999995</v>
      </c>
      <c r="Z36" s="26">
        <f t="shared" si="10"/>
        <v>2.1129618532076769E-4</v>
      </c>
      <c r="AA36" s="162"/>
      <c r="AB36" s="198">
        <f t="shared" si="4"/>
        <v>3.05</v>
      </c>
      <c r="AC36" s="198">
        <f t="shared" si="1"/>
        <v>4.6399999999999997</v>
      </c>
      <c r="AD36" s="198">
        <f t="shared" si="2"/>
        <v>0</v>
      </c>
      <c r="AE36" s="198">
        <f t="shared" si="5"/>
        <v>7.6899999999999995</v>
      </c>
      <c r="AF36" s="190">
        <f t="shared" si="3"/>
        <v>0.60338101430429125</v>
      </c>
      <c r="AH36" s="13"/>
      <c r="AI36" s="162"/>
      <c r="AJ36" s="162"/>
      <c r="AK36" s="249"/>
    </row>
    <row r="37" spans="1:37" x14ac:dyDescent="0.25">
      <c r="A37" s="13" t="s">
        <v>37</v>
      </c>
      <c r="B37" s="14"/>
      <c r="C37" s="14"/>
      <c r="D37" s="14"/>
      <c r="E37" s="14"/>
      <c r="F37" s="14"/>
      <c r="G37" s="14"/>
      <c r="H37" s="14">
        <v>22.88</v>
      </c>
      <c r="I37" s="14"/>
      <c r="J37" s="14"/>
      <c r="K37" s="14"/>
      <c r="L37" s="14"/>
      <c r="M37" s="14">
        <v>1.1299999999999999</v>
      </c>
      <c r="N37" s="14"/>
      <c r="O37" s="14">
        <v>3.55</v>
      </c>
      <c r="P37" s="14">
        <v>1.41</v>
      </c>
      <c r="Q37" s="14">
        <v>4.1500000000000004</v>
      </c>
      <c r="R37" s="14">
        <v>3.23</v>
      </c>
      <c r="S37" s="14">
        <v>3.52</v>
      </c>
      <c r="T37" s="14">
        <v>2.5299999999999998</v>
      </c>
      <c r="U37" s="14">
        <v>19.54</v>
      </c>
      <c r="V37" s="14">
        <v>8.76</v>
      </c>
      <c r="W37" s="14"/>
      <c r="X37" s="14">
        <v>2.17</v>
      </c>
      <c r="Y37" s="14">
        <v>72.87</v>
      </c>
      <c r="Z37" s="26">
        <f t="shared" si="10"/>
        <v>2.002230562330864E-3</v>
      </c>
      <c r="AA37" s="162"/>
      <c r="AB37" s="198">
        <f t="shared" si="4"/>
        <v>39.869999999999997</v>
      </c>
      <c r="AC37" s="198">
        <f t="shared" si="1"/>
        <v>30.83</v>
      </c>
      <c r="AD37" s="198">
        <f t="shared" si="2"/>
        <v>2.17</v>
      </c>
      <c r="AE37" s="198">
        <f t="shared" si="5"/>
        <v>72.86999999999999</v>
      </c>
      <c r="AF37" s="190">
        <f t="shared" ref="AF37:AF56" si="11">AC37/AE37</f>
        <v>0.42308220118018391</v>
      </c>
      <c r="AH37" s="13"/>
      <c r="AI37" s="162"/>
      <c r="AJ37" s="162"/>
      <c r="AK37" s="249"/>
    </row>
    <row r="38" spans="1:37" x14ac:dyDescent="0.25">
      <c r="A38" s="13" t="s">
        <v>38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>
        <v>0.9</v>
      </c>
      <c r="O38" s="14">
        <v>0.25</v>
      </c>
      <c r="P38" s="14"/>
      <c r="Q38" s="14"/>
      <c r="R38" s="14">
        <v>1.23</v>
      </c>
      <c r="S38" s="14">
        <v>4.5199999999999996</v>
      </c>
      <c r="T38" s="14">
        <v>13.22</v>
      </c>
      <c r="U38" s="14">
        <v>9.44</v>
      </c>
      <c r="V38" s="14">
        <v>68.25</v>
      </c>
      <c r="W38" s="14">
        <v>6.96</v>
      </c>
      <c r="X38" s="14"/>
      <c r="Y38" s="14">
        <v>104.77</v>
      </c>
      <c r="Z38" s="26">
        <f t="shared" si="10"/>
        <v>2.8787387953259857E-3</v>
      </c>
      <c r="AA38" s="162"/>
      <c r="AB38" s="198">
        <f t="shared" si="4"/>
        <v>6.8999999999999995</v>
      </c>
      <c r="AC38" s="198">
        <f t="shared" si="1"/>
        <v>97.86999999999999</v>
      </c>
      <c r="AD38" s="198">
        <f t="shared" si="2"/>
        <v>0</v>
      </c>
      <c r="AE38" s="198">
        <f t="shared" si="5"/>
        <v>104.77</v>
      </c>
      <c r="AF38" s="190">
        <f t="shared" si="11"/>
        <v>0.93414145270592719</v>
      </c>
      <c r="AH38" s="13"/>
      <c r="AI38" s="162"/>
      <c r="AJ38" s="162"/>
      <c r="AK38" s="249"/>
    </row>
    <row r="39" spans="1:37" x14ac:dyDescent="0.25">
      <c r="A39" s="13" t="s">
        <v>39</v>
      </c>
      <c r="B39" s="14"/>
      <c r="C39" s="14">
        <v>0.09</v>
      </c>
      <c r="D39" s="14"/>
      <c r="E39" s="14"/>
      <c r="F39" s="14"/>
      <c r="G39" s="14"/>
      <c r="H39" s="14"/>
      <c r="I39" s="14"/>
      <c r="J39" s="14"/>
      <c r="K39" s="14"/>
      <c r="L39" s="14"/>
      <c r="M39" s="14">
        <v>0.42</v>
      </c>
      <c r="N39" s="14">
        <v>3.18</v>
      </c>
      <c r="O39" s="14">
        <v>10.55</v>
      </c>
      <c r="P39" s="14">
        <v>1.4500000000000002</v>
      </c>
      <c r="Q39" s="14"/>
      <c r="R39" s="14"/>
      <c r="S39" s="14">
        <v>17.88</v>
      </c>
      <c r="T39" s="14">
        <v>39.69</v>
      </c>
      <c r="U39" s="14">
        <v>38.130000000000003</v>
      </c>
      <c r="V39" s="14">
        <v>39.54</v>
      </c>
      <c r="W39" s="14">
        <v>11.870000000000001</v>
      </c>
      <c r="X39" s="14"/>
      <c r="Y39" s="14">
        <v>162.79999999999998</v>
      </c>
      <c r="Z39" s="26">
        <f t="shared" si="10"/>
        <v>4.4732144304578643E-3</v>
      </c>
      <c r="AA39" s="162"/>
      <c r="AB39" s="198">
        <f t="shared" si="4"/>
        <v>33.57</v>
      </c>
      <c r="AC39" s="198">
        <f t="shared" si="1"/>
        <v>129.22999999999999</v>
      </c>
      <c r="AD39" s="198">
        <f t="shared" si="2"/>
        <v>0</v>
      </c>
      <c r="AE39" s="198">
        <f t="shared" si="5"/>
        <v>162.79999999999998</v>
      </c>
      <c r="AF39" s="190">
        <f t="shared" si="11"/>
        <v>0.79379606879606879</v>
      </c>
      <c r="AH39" s="13"/>
      <c r="AI39" s="162"/>
      <c r="AJ39" s="162"/>
      <c r="AK39" s="249"/>
    </row>
    <row r="40" spans="1:37" x14ac:dyDescent="0.25">
      <c r="A40" s="13" t="s">
        <v>40</v>
      </c>
      <c r="B40" s="14"/>
      <c r="C40" s="14"/>
      <c r="D40" s="14"/>
      <c r="E40" s="14"/>
      <c r="F40" s="14"/>
      <c r="G40" s="14"/>
      <c r="H40" s="14"/>
      <c r="I40" s="14">
        <v>0.32</v>
      </c>
      <c r="J40" s="14"/>
      <c r="K40" s="14"/>
      <c r="L40" s="14"/>
      <c r="M40" s="14"/>
      <c r="N40" s="14"/>
      <c r="O40" s="14"/>
      <c r="P40" s="14"/>
      <c r="Q40" s="14"/>
      <c r="R40" s="14"/>
      <c r="S40" s="14">
        <v>0.59</v>
      </c>
      <c r="T40" s="14">
        <v>0.17</v>
      </c>
      <c r="U40" s="14">
        <v>16.190000000000001</v>
      </c>
      <c r="V40" s="14">
        <v>11.47</v>
      </c>
      <c r="W40" s="14">
        <v>3.76</v>
      </c>
      <c r="X40" s="14">
        <v>0.53</v>
      </c>
      <c r="Y40" s="14">
        <v>33.03</v>
      </c>
      <c r="Z40" s="26">
        <f t="shared" si="10"/>
        <v>9.0755695723601518E-4</v>
      </c>
      <c r="AA40" s="162"/>
      <c r="AB40" s="198">
        <f t="shared" si="4"/>
        <v>0.90999999999999992</v>
      </c>
      <c r="AC40" s="198">
        <f t="shared" si="1"/>
        <v>31.590000000000003</v>
      </c>
      <c r="AD40" s="198">
        <f t="shared" si="2"/>
        <v>0.53</v>
      </c>
      <c r="AE40" s="198">
        <f t="shared" si="5"/>
        <v>33.03</v>
      </c>
      <c r="AF40" s="190">
        <f t="shared" si="11"/>
        <v>0.95640326975476841</v>
      </c>
      <c r="AH40" s="13"/>
      <c r="AI40" s="162"/>
      <c r="AJ40" s="162"/>
      <c r="AK40" s="249"/>
    </row>
    <row r="41" spans="1:37" x14ac:dyDescent="0.25">
      <c r="A41" s="13" t="s">
        <v>41</v>
      </c>
      <c r="B41" s="14">
        <v>1.21</v>
      </c>
      <c r="C41" s="14"/>
      <c r="D41" s="14"/>
      <c r="E41" s="14"/>
      <c r="F41" s="14"/>
      <c r="G41" s="14"/>
      <c r="H41" s="14"/>
      <c r="I41" s="14"/>
      <c r="J41" s="14"/>
      <c r="K41" s="14">
        <v>0.44</v>
      </c>
      <c r="L41" s="14">
        <v>11.78</v>
      </c>
      <c r="M41" s="14">
        <v>4.34</v>
      </c>
      <c r="N41" s="14">
        <v>5.34</v>
      </c>
      <c r="O41" s="14">
        <v>7.17</v>
      </c>
      <c r="P41" s="14">
        <v>13.470000000000002</v>
      </c>
      <c r="Q41" s="14">
        <v>32.15</v>
      </c>
      <c r="R41" s="14">
        <v>51.56</v>
      </c>
      <c r="S41" s="14">
        <v>49.8</v>
      </c>
      <c r="T41" s="14">
        <v>59.48</v>
      </c>
      <c r="U41" s="14">
        <v>106.85</v>
      </c>
      <c r="V41" s="14">
        <v>96.590000000000018</v>
      </c>
      <c r="W41" s="14">
        <v>188.34</v>
      </c>
      <c r="X41" s="14">
        <v>0.49</v>
      </c>
      <c r="Y41" s="14">
        <v>629.01</v>
      </c>
      <c r="Z41" s="26">
        <f t="shared" si="10"/>
        <v>1.7283148703331089E-2</v>
      </c>
      <c r="AA41" s="162"/>
      <c r="AB41" s="198">
        <f t="shared" si="4"/>
        <v>177.26</v>
      </c>
      <c r="AC41" s="198">
        <f t="shared" si="1"/>
        <v>451.26</v>
      </c>
      <c r="AD41" s="198">
        <f t="shared" si="2"/>
        <v>0.49</v>
      </c>
      <c r="AE41" s="198">
        <f t="shared" si="5"/>
        <v>629.01</v>
      </c>
      <c r="AF41" s="190">
        <f t="shared" si="11"/>
        <v>0.71741307769351836</v>
      </c>
      <c r="AH41" s="13"/>
      <c r="AI41" s="162"/>
      <c r="AJ41" s="162"/>
      <c r="AK41" s="249"/>
    </row>
    <row r="42" spans="1:37" x14ac:dyDescent="0.25">
      <c r="A42" s="13" t="s">
        <v>42</v>
      </c>
      <c r="B42" s="14"/>
      <c r="C42" s="14">
        <v>0.42</v>
      </c>
      <c r="D42" s="14"/>
      <c r="E42" s="14"/>
      <c r="F42" s="14"/>
      <c r="G42" s="14"/>
      <c r="H42" s="14"/>
      <c r="I42" s="14"/>
      <c r="J42" s="14"/>
      <c r="K42" s="14"/>
      <c r="L42" s="14"/>
      <c r="M42" s="14">
        <v>13.06</v>
      </c>
      <c r="N42" s="14">
        <v>3.2</v>
      </c>
      <c r="O42" s="14">
        <v>26.389999999999997</v>
      </c>
      <c r="P42" s="14">
        <v>12.489999999999998</v>
      </c>
      <c r="Q42" s="14">
        <v>16.54</v>
      </c>
      <c r="R42" s="14">
        <v>17.57</v>
      </c>
      <c r="S42" s="14">
        <v>38.19</v>
      </c>
      <c r="T42" s="14">
        <v>92.88</v>
      </c>
      <c r="U42" s="14">
        <v>170.62</v>
      </c>
      <c r="V42" s="14">
        <v>70.44</v>
      </c>
      <c r="W42" s="14">
        <v>112.07</v>
      </c>
      <c r="X42" s="14">
        <v>0.21</v>
      </c>
      <c r="Y42" s="14">
        <v>574.08000000000004</v>
      </c>
      <c r="Z42" s="26">
        <f t="shared" si="10"/>
        <v>1.5773850984258299E-2</v>
      </c>
      <c r="AA42" s="162"/>
      <c r="AB42" s="198">
        <f t="shared" si="4"/>
        <v>127.85999999999999</v>
      </c>
      <c r="AC42" s="198">
        <f t="shared" si="1"/>
        <v>446.01</v>
      </c>
      <c r="AD42" s="198">
        <f t="shared" si="2"/>
        <v>0.21</v>
      </c>
      <c r="AE42" s="198">
        <f t="shared" si="5"/>
        <v>574.08000000000004</v>
      </c>
      <c r="AF42" s="190">
        <f t="shared" si="11"/>
        <v>0.77691262541806017</v>
      </c>
      <c r="AH42" s="13"/>
      <c r="AI42" s="162"/>
      <c r="AJ42" s="162"/>
      <c r="AK42" s="249"/>
    </row>
    <row r="43" spans="1:37" x14ac:dyDescent="0.25">
      <c r="A43" s="44" t="s">
        <v>75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>
        <v>0.15</v>
      </c>
      <c r="P43" s="45"/>
      <c r="Q43" s="45"/>
      <c r="R43" s="45"/>
      <c r="S43" s="45"/>
      <c r="T43" s="45"/>
      <c r="U43" s="45">
        <v>0.81</v>
      </c>
      <c r="V43" s="45"/>
      <c r="W43" s="45"/>
      <c r="X43" s="45"/>
      <c r="Y43" s="45">
        <v>0.96000000000000008</v>
      </c>
      <c r="Z43" s="46">
        <f t="shared" ref="Z43:Z56" si="12">Y43/$Y$56</f>
        <v>2.637767723120117E-5</v>
      </c>
      <c r="AA43" s="162"/>
      <c r="AB43" s="197">
        <f t="shared" si="4"/>
        <v>0.15</v>
      </c>
      <c r="AC43" s="197">
        <f t="shared" si="1"/>
        <v>0.81</v>
      </c>
      <c r="AD43" s="197">
        <f t="shared" si="2"/>
        <v>0</v>
      </c>
      <c r="AE43" s="197">
        <f t="shared" si="5"/>
        <v>0.96000000000000008</v>
      </c>
      <c r="AF43" s="189">
        <f t="shared" si="11"/>
        <v>0.84375</v>
      </c>
      <c r="AH43" s="13"/>
      <c r="AI43" s="162"/>
      <c r="AJ43" s="162"/>
      <c r="AK43" s="249"/>
    </row>
    <row r="44" spans="1:37" x14ac:dyDescent="0.25">
      <c r="A44" s="13" t="s">
        <v>76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>
        <v>0.15</v>
      </c>
      <c r="P44" s="14"/>
      <c r="Q44" s="14"/>
      <c r="R44" s="14"/>
      <c r="S44" s="14"/>
      <c r="T44" s="14"/>
      <c r="U44" s="14">
        <v>0.81</v>
      </c>
      <c r="V44" s="14"/>
      <c r="W44" s="14"/>
      <c r="X44" s="14"/>
      <c r="Y44" s="14">
        <v>0.96000000000000008</v>
      </c>
      <c r="Z44" s="26">
        <f t="shared" si="12"/>
        <v>2.637767723120117E-5</v>
      </c>
      <c r="AA44" s="162"/>
      <c r="AB44" s="198">
        <f t="shared" si="4"/>
        <v>0.15</v>
      </c>
      <c r="AC44" s="198">
        <f t="shared" si="1"/>
        <v>0.81</v>
      </c>
      <c r="AD44" s="198">
        <f t="shared" si="2"/>
        <v>0</v>
      </c>
      <c r="AE44" s="198">
        <f t="shared" si="5"/>
        <v>0.96000000000000008</v>
      </c>
      <c r="AF44" s="190">
        <f t="shared" si="11"/>
        <v>0.84375</v>
      </c>
      <c r="AH44" s="13"/>
      <c r="AI44" s="162"/>
      <c r="AJ44" s="162"/>
      <c r="AK44" s="249"/>
    </row>
    <row r="45" spans="1:37" x14ac:dyDescent="0.25">
      <c r="A45" s="44" t="s">
        <v>54</v>
      </c>
      <c r="B45" s="45">
        <v>0.44</v>
      </c>
      <c r="C45" s="45">
        <v>1.57</v>
      </c>
      <c r="D45" s="45"/>
      <c r="E45" s="45"/>
      <c r="F45" s="45"/>
      <c r="G45" s="45"/>
      <c r="H45" s="45">
        <v>0.02</v>
      </c>
      <c r="I45" s="45">
        <v>4.54</v>
      </c>
      <c r="J45" s="45">
        <v>0.54</v>
      </c>
      <c r="K45" s="45"/>
      <c r="L45" s="45">
        <v>1.27</v>
      </c>
      <c r="M45" s="45">
        <v>5.27</v>
      </c>
      <c r="N45" s="45">
        <v>22.83</v>
      </c>
      <c r="O45" s="45">
        <v>83.63</v>
      </c>
      <c r="P45" s="45">
        <v>51.139999999999993</v>
      </c>
      <c r="Q45" s="45">
        <v>103.84</v>
      </c>
      <c r="R45" s="45">
        <v>91.8</v>
      </c>
      <c r="S45" s="45">
        <v>102.32999999999998</v>
      </c>
      <c r="T45" s="45">
        <v>104.14</v>
      </c>
      <c r="U45" s="45">
        <v>193.89999999999998</v>
      </c>
      <c r="V45" s="45">
        <v>173.61</v>
      </c>
      <c r="W45" s="45">
        <v>200.03999999999996</v>
      </c>
      <c r="X45" s="45"/>
      <c r="Y45" s="45">
        <v>1140.9100000000001</v>
      </c>
      <c r="Z45" s="46">
        <f t="shared" si="12"/>
        <v>3.13484955519268E-2</v>
      </c>
      <c r="AA45" s="162"/>
      <c r="AB45" s="197">
        <f t="shared" si="4"/>
        <v>469.21999999999997</v>
      </c>
      <c r="AC45" s="197">
        <f t="shared" si="1"/>
        <v>671.68999999999994</v>
      </c>
      <c r="AD45" s="197">
        <f t="shared" si="2"/>
        <v>0</v>
      </c>
      <c r="AE45" s="197">
        <f t="shared" si="5"/>
        <v>1140.9099999999999</v>
      </c>
      <c r="AF45" s="189">
        <f t="shared" si="11"/>
        <v>0.58873180180732931</v>
      </c>
      <c r="AH45" s="13"/>
      <c r="AI45" s="162"/>
      <c r="AJ45" s="162"/>
      <c r="AK45" s="249"/>
    </row>
    <row r="46" spans="1:37" x14ac:dyDescent="0.25">
      <c r="A46" s="13" t="s">
        <v>43</v>
      </c>
      <c r="B46" s="14">
        <v>0.44</v>
      </c>
      <c r="C46" s="14">
        <v>1.57</v>
      </c>
      <c r="D46" s="14"/>
      <c r="E46" s="14"/>
      <c r="F46" s="14"/>
      <c r="G46" s="14"/>
      <c r="H46" s="14"/>
      <c r="I46" s="14">
        <v>4.54</v>
      </c>
      <c r="J46" s="14">
        <v>0.54</v>
      </c>
      <c r="K46" s="14"/>
      <c r="L46" s="14"/>
      <c r="M46" s="14">
        <v>2.11</v>
      </c>
      <c r="N46" s="14">
        <v>22.83</v>
      </c>
      <c r="O46" s="14">
        <v>82.39</v>
      </c>
      <c r="P46" s="14">
        <v>48.129999999999995</v>
      </c>
      <c r="Q46" s="14">
        <v>85.38</v>
      </c>
      <c r="R46" s="14">
        <v>85.08</v>
      </c>
      <c r="S46" s="14">
        <v>92.149999999999991</v>
      </c>
      <c r="T46" s="14">
        <v>95.08</v>
      </c>
      <c r="U46" s="14">
        <v>184.45999999999998</v>
      </c>
      <c r="V46" s="14">
        <v>166.57000000000002</v>
      </c>
      <c r="W46" s="14">
        <v>176.89999999999998</v>
      </c>
      <c r="X46" s="14"/>
      <c r="Y46" s="14">
        <v>1048.17</v>
      </c>
      <c r="Z46" s="26">
        <f t="shared" si="12"/>
        <v>2.8800302024404301E-2</v>
      </c>
      <c r="AA46" s="162"/>
      <c r="AB46" s="198">
        <f t="shared" si="4"/>
        <v>425.15999999999997</v>
      </c>
      <c r="AC46" s="198">
        <f t="shared" si="1"/>
        <v>623.01</v>
      </c>
      <c r="AD46" s="198">
        <f t="shared" si="2"/>
        <v>0</v>
      </c>
      <c r="AE46" s="198">
        <f t="shared" si="5"/>
        <v>1048.17</v>
      </c>
      <c r="AF46" s="190">
        <f t="shared" si="11"/>
        <v>0.59437877443544462</v>
      </c>
      <c r="AH46" s="13"/>
      <c r="AI46" s="162"/>
      <c r="AJ46" s="162"/>
      <c r="AK46" s="249"/>
    </row>
    <row r="47" spans="1:37" x14ac:dyDescent="0.25">
      <c r="A47" s="13" t="s">
        <v>44</v>
      </c>
      <c r="B47" s="14"/>
      <c r="C47" s="14"/>
      <c r="D47" s="14"/>
      <c r="E47" s="14"/>
      <c r="F47" s="14"/>
      <c r="G47" s="14"/>
      <c r="H47" s="14">
        <v>0.02</v>
      </c>
      <c r="I47" s="14"/>
      <c r="J47" s="14"/>
      <c r="K47" s="14"/>
      <c r="L47" s="14">
        <v>1.27</v>
      </c>
      <c r="M47" s="14">
        <v>3.16</v>
      </c>
      <c r="N47" s="14"/>
      <c r="O47" s="14">
        <v>1.24</v>
      </c>
      <c r="P47" s="14">
        <v>3.0100000000000002</v>
      </c>
      <c r="Q47" s="14">
        <v>18.46</v>
      </c>
      <c r="R47" s="14">
        <v>6.72</v>
      </c>
      <c r="S47" s="14">
        <v>10.18</v>
      </c>
      <c r="T47" s="14">
        <v>9.06</v>
      </c>
      <c r="U47" s="14">
        <v>9.44</v>
      </c>
      <c r="V47" s="14">
        <v>7.0399999999999991</v>
      </c>
      <c r="W47" s="14">
        <v>23.14</v>
      </c>
      <c r="X47" s="14"/>
      <c r="Y47" s="14">
        <v>92.74</v>
      </c>
      <c r="Z47" s="26">
        <f t="shared" si="12"/>
        <v>2.548193527522496E-3</v>
      </c>
      <c r="AA47" s="162"/>
      <c r="AB47" s="198">
        <f t="shared" si="4"/>
        <v>44.06</v>
      </c>
      <c r="AC47" s="198">
        <f t="shared" si="1"/>
        <v>48.68</v>
      </c>
      <c r="AD47" s="198">
        <f t="shared" si="2"/>
        <v>0</v>
      </c>
      <c r="AE47" s="198">
        <f t="shared" si="5"/>
        <v>92.740000000000009</v>
      </c>
      <c r="AF47" s="190">
        <f t="shared" si="11"/>
        <v>0.52490834591330593</v>
      </c>
    </row>
    <row r="48" spans="1:37" x14ac:dyDescent="0.25">
      <c r="A48" s="44" t="s">
        <v>55</v>
      </c>
      <c r="B48" s="45">
        <v>0.21000000000000002</v>
      </c>
      <c r="C48" s="45">
        <v>3.4</v>
      </c>
      <c r="D48" s="45"/>
      <c r="E48" s="45"/>
      <c r="F48" s="45"/>
      <c r="G48" s="45">
        <v>0.17</v>
      </c>
      <c r="H48" s="45"/>
      <c r="I48" s="45"/>
      <c r="J48" s="45"/>
      <c r="K48" s="45"/>
      <c r="L48" s="45">
        <v>0.3</v>
      </c>
      <c r="M48" s="45"/>
      <c r="N48" s="45"/>
      <c r="O48" s="45"/>
      <c r="P48" s="45"/>
      <c r="Q48" s="45"/>
      <c r="R48" s="45">
        <v>0.28999999999999998</v>
      </c>
      <c r="S48" s="45">
        <v>5.66</v>
      </c>
      <c r="T48" s="45">
        <v>3.12</v>
      </c>
      <c r="U48" s="45">
        <v>2.5700000000000003</v>
      </c>
      <c r="V48" s="45">
        <v>23.61</v>
      </c>
      <c r="W48" s="45">
        <v>6.67</v>
      </c>
      <c r="X48" s="45">
        <v>0.05</v>
      </c>
      <c r="Y48" s="45">
        <v>46.05</v>
      </c>
      <c r="Z48" s="160">
        <f t="shared" si="12"/>
        <v>1.2653042046841809E-3</v>
      </c>
      <c r="AA48" s="162"/>
      <c r="AB48" s="197">
        <f t="shared" si="4"/>
        <v>10.030000000000001</v>
      </c>
      <c r="AC48" s="197">
        <f t="shared" si="1"/>
        <v>35.97</v>
      </c>
      <c r="AD48" s="197">
        <f t="shared" si="2"/>
        <v>0.05</v>
      </c>
      <c r="AE48" s="197">
        <f t="shared" si="5"/>
        <v>46.05</v>
      </c>
      <c r="AF48" s="189">
        <f t="shared" si="11"/>
        <v>0.78110749185667749</v>
      </c>
    </row>
    <row r="49" spans="1:32" x14ac:dyDescent="0.25">
      <c r="A49" s="13" t="s">
        <v>45</v>
      </c>
      <c r="B49" s="14">
        <v>0.21000000000000002</v>
      </c>
      <c r="C49" s="14">
        <v>3.4</v>
      </c>
      <c r="D49" s="14"/>
      <c r="E49" s="14"/>
      <c r="F49" s="14"/>
      <c r="G49" s="14">
        <v>0.17</v>
      </c>
      <c r="H49" s="14"/>
      <c r="I49" s="14"/>
      <c r="J49" s="14"/>
      <c r="K49" s="14"/>
      <c r="L49" s="14">
        <v>0.3</v>
      </c>
      <c r="M49" s="14"/>
      <c r="N49" s="14"/>
      <c r="O49" s="14"/>
      <c r="P49" s="14"/>
      <c r="Q49" s="14"/>
      <c r="R49" s="14">
        <v>0.28999999999999998</v>
      </c>
      <c r="S49" s="14">
        <v>5.66</v>
      </c>
      <c r="T49" s="14">
        <v>3.12</v>
      </c>
      <c r="U49" s="14">
        <v>2.5700000000000003</v>
      </c>
      <c r="V49" s="14">
        <v>23.61</v>
      </c>
      <c r="W49" s="14">
        <v>6.67</v>
      </c>
      <c r="X49" s="14">
        <v>0.05</v>
      </c>
      <c r="Y49" s="14">
        <v>46.05</v>
      </c>
      <c r="Z49" s="26">
        <f t="shared" si="12"/>
        <v>1.2653042046841809E-3</v>
      </c>
      <c r="AA49" s="162"/>
      <c r="AB49" s="198">
        <f t="shared" si="4"/>
        <v>10.030000000000001</v>
      </c>
      <c r="AC49" s="198">
        <f t="shared" si="1"/>
        <v>35.97</v>
      </c>
      <c r="AD49" s="198">
        <f t="shared" si="2"/>
        <v>0.05</v>
      </c>
      <c r="AE49" s="198">
        <f t="shared" si="5"/>
        <v>46.05</v>
      </c>
      <c r="AF49" s="190">
        <f t="shared" si="11"/>
        <v>0.78110749185667749</v>
      </c>
    </row>
    <row r="50" spans="1:32" x14ac:dyDescent="0.25">
      <c r="A50" s="44" t="s">
        <v>80</v>
      </c>
      <c r="B50" s="45"/>
      <c r="C50" s="45"/>
      <c r="D50" s="45"/>
      <c r="E50" s="45"/>
      <c r="F50" s="45"/>
      <c r="G50" s="45"/>
      <c r="H50" s="45"/>
      <c r="I50" s="45"/>
      <c r="J50" s="45">
        <v>0.16</v>
      </c>
      <c r="K50" s="45"/>
      <c r="L50" s="45"/>
      <c r="M50" s="45"/>
      <c r="N50" s="45"/>
      <c r="O50" s="45"/>
      <c r="P50" s="45">
        <v>13.87</v>
      </c>
      <c r="Q50" s="45">
        <v>7.85</v>
      </c>
      <c r="R50" s="45">
        <v>62.83</v>
      </c>
      <c r="S50" s="45">
        <v>33.19</v>
      </c>
      <c r="T50" s="45">
        <v>24.7</v>
      </c>
      <c r="U50" s="45">
        <v>42.63</v>
      </c>
      <c r="V50" s="45">
        <v>39.339999999999996</v>
      </c>
      <c r="W50" s="45">
        <v>26.89</v>
      </c>
      <c r="X50" s="45">
        <v>7.66</v>
      </c>
      <c r="Y50" s="45">
        <v>259.12</v>
      </c>
      <c r="Z50" s="160">
        <f t="shared" si="12"/>
        <v>7.1197747126550484E-3</v>
      </c>
      <c r="AA50" s="162"/>
      <c r="AB50" s="197">
        <f t="shared" si="4"/>
        <v>117.89999999999999</v>
      </c>
      <c r="AC50" s="197">
        <f t="shared" si="1"/>
        <v>133.56</v>
      </c>
      <c r="AD50" s="197">
        <f t="shared" si="2"/>
        <v>7.66</v>
      </c>
      <c r="AE50" s="197">
        <f t="shared" si="5"/>
        <v>259.12</v>
      </c>
      <c r="AF50" s="189">
        <f t="shared" si="11"/>
        <v>0.51543686322939175</v>
      </c>
    </row>
    <row r="51" spans="1:32" x14ac:dyDescent="0.25">
      <c r="A51" s="13" t="s">
        <v>81</v>
      </c>
      <c r="B51" s="14"/>
      <c r="C51" s="14"/>
      <c r="D51" s="14"/>
      <c r="E51" s="14"/>
      <c r="F51" s="14"/>
      <c r="G51" s="14"/>
      <c r="H51" s="14"/>
      <c r="I51" s="14"/>
      <c r="J51" s="14">
        <v>0.16</v>
      </c>
      <c r="K51" s="14"/>
      <c r="L51" s="14"/>
      <c r="M51" s="14"/>
      <c r="N51" s="14"/>
      <c r="O51" s="14"/>
      <c r="P51" s="14">
        <v>13.87</v>
      </c>
      <c r="Q51" s="14">
        <v>7.85</v>
      </c>
      <c r="R51" s="14">
        <v>62.83</v>
      </c>
      <c r="S51" s="14">
        <v>33.19</v>
      </c>
      <c r="T51" s="14">
        <v>24.7</v>
      </c>
      <c r="U51" s="14">
        <v>42.63</v>
      </c>
      <c r="V51" s="14">
        <v>39.339999999999996</v>
      </c>
      <c r="W51" s="14">
        <v>26.89</v>
      </c>
      <c r="X51" s="14">
        <v>7.66</v>
      </c>
      <c r="Y51" s="14">
        <v>259.12</v>
      </c>
      <c r="Z51" s="26">
        <f t="shared" si="12"/>
        <v>7.1197747126550484E-3</v>
      </c>
      <c r="AA51" s="162"/>
      <c r="AB51" s="198">
        <f t="shared" si="4"/>
        <v>117.89999999999999</v>
      </c>
      <c r="AC51" s="198">
        <f t="shared" si="1"/>
        <v>133.56</v>
      </c>
      <c r="AD51" s="198">
        <f t="shared" si="2"/>
        <v>7.66</v>
      </c>
      <c r="AE51" s="198">
        <f t="shared" si="5"/>
        <v>259.12</v>
      </c>
      <c r="AF51" s="190">
        <f t="shared" si="11"/>
        <v>0.51543686322939175</v>
      </c>
    </row>
    <row r="52" spans="1:32" x14ac:dyDescent="0.25">
      <c r="A52" s="44" t="s">
        <v>56</v>
      </c>
      <c r="B52" s="45">
        <v>0.13</v>
      </c>
      <c r="C52" s="45">
        <v>0.01</v>
      </c>
      <c r="D52" s="45"/>
      <c r="E52" s="45"/>
      <c r="F52" s="45"/>
      <c r="G52" s="45"/>
      <c r="H52" s="45"/>
      <c r="I52" s="45"/>
      <c r="J52" s="45"/>
      <c r="K52" s="45"/>
      <c r="L52" s="45"/>
      <c r="M52" s="45">
        <v>1.19</v>
      </c>
      <c r="N52" s="45">
        <v>2.71</v>
      </c>
      <c r="O52" s="45">
        <v>4.62</v>
      </c>
      <c r="P52" s="45">
        <v>0.82</v>
      </c>
      <c r="Q52" s="45">
        <v>7.5</v>
      </c>
      <c r="R52" s="45">
        <v>125.1</v>
      </c>
      <c r="S52" s="45">
        <v>63.03</v>
      </c>
      <c r="T52" s="45">
        <v>50.25</v>
      </c>
      <c r="U52" s="45">
        <v>43.099999999999994</v>
      </c>
      <c r="V52" s="45">
        <v>31.04</v>
      </c>
      <c r="W52" s="45">
        <v>36.230000000000004</v>
      </c>
      <c r="X52" s="45">
        <v>1.26</v>
      </c>
      <c r="Y52" s="45">
        <v>366.99</v>
      </c>
      <c r="Z52" s="46">
        <f t="shared" si="12"/>
        <v>1.0083691424040121E-2</v>
      </c>
      <c r="AA52" s="162"/>
      <c r="AB52" s="197">
        <f t="shared" si="4"/>
        <v>205.10999999999999</v>
      </c>
      <c r="AC52" s="197">
        <f t="shared" si="1"/>
        <v>160.62</v>
      </c>
      <c r="AD52" s="197">
        <f t="shared" si="2"/>
        <v>1.26</v>
      </c>
      <c r="AE52" s="197">
        <f t="shared" si="5"/>
        <v>366.99</v>
      </c>
      <c r="AF52" s="189">
        <f t="shared" si="11"/>
        <v>0.43766860132428675</v>
      </c>
    </row>
    <row r="53" spans="1:32" x14ac:dyDescent="0.25">
      <c r="A53" s="13" t="s">
        <v>46</v>
      </c>
      <c r="B53" s="14">
        <v>0.13</v>
      </c>
      <c r="C53" s="14">
        <v>0.01</v>
      </c>
      <c r="D53" s="14"/>
      <c r="E53" s="14"/>
      <c r="F53" s="14"/>
      <c r="G53" s="14"/>
      <c r="H53" s="14"/>
      <c r="I53" s="14"/>
      <c r="J53" s="14"/>
      <c r="K53" s="14"/>
      <c r="L53" s="14"/>
      <c r="M53" s="14">
        <v>1.19</v>
      </c>
      <c r="N53" s="14">
        <v>2.71</v>
      </c>
      <c r="O53" s="14">
        <v>4.62</v>
      </c>
      <c r="P53" s="14">
        <v>0.82</v>
      </c>
      <c r="Q53" s="14">
        <v>7.5</v>
      </c>
      <c r="R53" s="14">
        <v>125.1</v>
      </c>
      <c r="S53" s="14">
        <v>63.03</v>
      </c>
      <c r="T53" s="14">
        <v>50.25</v>
      </c>
      <c r="U53" s="14">
        <v>43.099999999999994</v>
      </c>
      <c r="V53" s="14">
        <v>31.04</v>
      </c>
      <c r="W53" s="14">
        <v>36.230000000000004</v>
      </c>
      <c r="X53" s="14">
        <v>1.26</v>
      </c>
      <c r="Y53" s="14">
        <v>366.99</v>
      </c>
      <c r="Z53" s="26">
        <f t="shared" si="12"/>
        <v>1.0083691424040121E-2</v>
      </c>
      <c r="AA53" s="162"/>
      <c r="AB53" s="198">
        <f t="shared" si="4"/>
        <v>205.10999999999999</v>
      </c>
      <c r="AC53" s="198">
        <f t="shared" si="1"/>
        <v>160.62</v>
      </c>
      <c r="AD53" s="198">
        <f t="shared" si="2"/>
        <v>1.26</v>
      </c>
      <c r="AE53" s="198">
        <f t="shared" si="5"/>
        <v>366.99</v>
      </c>
      <c r="AF53" s="190">
        <f t="shared" si="11"/>
        <v>0.43766860132428675</v>
      </c>
    </row>
    <row r="54" spans="1:32" x14ac:dyDescent="0.25">
      <c r="A54" s="44" t="s">
        <v>57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>
        <v>0.46</v>
      </c>
      <c r="T54" s="45"/>
      <c r="U54" s="45">
        <v>2.41</v>
      </c>
      <c r="V54" s="45"/>
      <c r="W54" s="45">
        <v>11.54</v>
      </c>
      <c r="X54" s="45">
        <v>0.22</v>
      </c>
      <c r="Y54" s="45">
        <v>14.63</v>
      </c>
      <c r="Z54" s="161">
        <f t="shared" si="12"/>
        <v>4.019848103046595E-4</v>
      </c>
      <c r="AA54" s="162"/>
      <c r="AB54" s="197">
        <f t="shared" si="4"/>
        <v>0.46</v>
      </c>
      <c r="AC54" s="197">
        <f t="shared" si="1"/>
        <v>13.95</v>
      </c>
      <c r="AD54" s="197">
        <f t="shared" si="2"/>
        <v>0.22</v>
      </c>
      <c r="AE54" s="197">
        <f t="shared" si="5"/>
        <v>14.63</v>
      </c>
      <c r="AF54" s="189">
        <f t="shared" si="11"/>
        <v>0.95352016404647977</v>
      </c>
    </row>
    <row r="55" spans="1:32" x14ac:dyDescent="0.25">
      <c r="A55" s="13" t="s">
        <v>47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>
        <v>0.46</v>
      </c>
      <c r="T55" s="14"/>
      <c r="U55" s="14">
        <v>2.41</v>
      </c>
      <c r="V55" s="14"/>
      <c r="W55" s="14">
        <v>11.54</v>
      </c>
      <c r="X55" s="14">
        <v>0.22</v>
      </c>
      <c r="Y55" s="14">
        <v>14.63</v>
      </c>
      <c r="Z55" s="26">
        <f t="shared" si="12"/>
        <v>4.019848103046595E-4</v>
      </c>
      <c r="AA55" s="162"/>
      <c r="AB55" s="198">
        <f>SUM(B55:S55)</f>
        <v>0.46</v>
      </c>
      <c r="AC55" s="198">
        <f>SUM(T55:W55)</f>
        <v>13.95</v>
      </c>
      <c r="AD55" s="198">
        <f t="shared" si="2"/>
        <v>0.22</v>
      </c>
      <c r="AE55" s="198">
        <f t="shared" si="5"/>
        <v>14.63</v>
      </c>
      <c r="AF55" s="190">
        <f t="shared" si="11"/>
        <v>0.95352016404647977</v>
      </c>
    </row>
    <row r="56" spans="1:32" x14ac:dyDescent="0.25">
      <c r="A56" s="47" t="s">
        <v>59</v>
      </c>
      <c r="B56" s="48">
        <v>361.1</v>
      </c>
      <c r="C56" s="48">
        <v>309</v>
      </c>
      <c r="D56" s="48">
        <v>103.04</v>
      </c>
      <c r="E56" s="48">
        <v>121.31</v>
      </c>
      <c r="F56" s="48">
        <v>105.14999999999999</v>
      </c>
      <c r="G56" s="48">
        <v>170.28</v>
      </c>
      <c r="H56" s="48">
        <v>170.11999999999998</v>
      </c>
      <c r="I56" s="48">
        <v>234.92</v>
      </c>
      <c r="J56" s="48">
        <v>161.66999999999999</v>
      </c>
      <c r="K56" s="48">
        <v>119.08000000000001</v>
      </c>
      <c r="L56" s="48">
        <v>278.35999999999996</v>
      </c>
      <c r="M56" s="48">
        <v>446.05</v>
      </c>
      <c r="N56" s="48">
        <v>437.1</v>
      </c>
      <c r="O56" s="48">
        <v>585.83000000000004</v>
      </c>
      <c r="P56" s="48">
        <v>753.43</v>
      </c>
      <c r="Q56" s="48">
        <v>1178.0900000000001</v>
      </c>
      <c r="R56" s="48">
        <v>2979.1799999999994</v>
      </c>
      <c r="S56" s="48">
        <v>3563.0700000000011</v>
      </c>
      <c r="T56" s="48">
        <v>4777.4800000000005</v>
      </c>
      <c r="U56" s="48">
        <v>6945.0000000000009</v>
      </c>
      <c r="V56" s="48">
        <v>7407.4000000000005</v>
      </c>
      <c r="W56" s="48">
        <v>5148.91</v>
      </c>
      <c r="X56" s="48">
        <v>38.840000000000011</v>
      </c>
      <c r="Y56" s="48">
        <v>36394.409999999996</v>
      </c>
      <c r="Z56" s="55">
        <f t="shared" si="12"/>
        <v>1</v>
      </c>
      <c r="AA56" s="162"/>
      <c r="AB56" s="199">
        <f>SUM(AB54,AB52,AB50,AB48,AB45,AB43,AB33,AB27,AB22,AB18,AB14,AB5)</f>
        <v>12152.959999999997</v>
      </c>
      <c r="AC56" s="199">
        <f>SUM(AC54,AC52,AC50,AC48,AC45,AC43,AC33,AC27,AC22,AC18,AC14,AC5)</f>
        <v>24317.91</v>
      </c>
      <c r="AD56" s="199">
        <f>SUM(AD54,AD52,AD50,AD48,AD45,AD43,AD33,AD27,AD22,AD18,AD14,AD5)</f>
        <v>38.839999999999996</v>
      </c>
      <c r="AE56" s="199">
        <f>AB56+AC56+AD56</f>
        <v>36509.709999999992</v>
      </c>
      <c r="AF56" s="200">
        <f t="shared" si="11"/>
        <v>0.66606691754056679</v>
      </c>
    </row>
    <row r="57" spans="1:32" x14ac:dyDescent="0.25">
      <c r="A57" t="s">
        <v>289</v>
      </c>
      <c r="B57" s="162"/>
      <c r="C57" s="162">
        <f>C56+B56</f>
        <v>670.1</v>
      </c>
      <c r="D57" s="162">
        <f>D56+C57</f>
        <v>773.14</v>
      </c>
      <c r="E57" s="162">
        <f>E56+D57</f>
        <v>894.45</v>
      </c>
      <c r="F57" s="162">
        <f t="shared" ref="F57:W57" si="13">F56+E57</f>
        <v>999.6</v>
      </c>
      <c r="G57" s="162">
        <f t="shared" si="13"/>
        <v>1169.8800000000001</v>
      </c>
      <c r="H57" s="162">
        <f t="shared" si="13"/>
        <v>1340</v>
      </c>
      <c r="I57" s="162">
        <f t="shared" si="13"/>
        <v>1574.92</v>
      </c>
      <c r="J57" s="162">
        <f t="shared" si="13"/>
        <v>1736.5900000000001</v>
      </c>
      <c r="K57" s="162">
        <f t="shared" si="13"/>
        <v>1855.67</v>
      </c>
      <c r="L57" s="162">
        <f t="shared" si="13"/>
        <v>2134.0300000000002</v>
      </c>
      <c r="M57" s="162">
        <f t="shared" si="13"/>
        <v>2580.0800000000004</v>
      </c>
      <c r="N57" s="162">
        <f t="shared" si="13"/>
        <v>3017.1800000000003</v>
      </c>
      <c r="O57" s="162">
        <f t="shared" si="13"/>
        <v>3603.01</v>
      </c>
      <c r="P57" s="162">
        <f t="shared" si="13"/>
        <v>4356.4400000000005</v>
      </c>
      <c r="Q57" s="162">
        <f t="shared" si="13"/>
        <v>5534.5300000000007</v>
      </c>
      <c r="R57" s="162">
        <f t="shared" si="13"/>
        <v>8513.7099999999991</v>
      </c>
      <c r="S57" s="162">
        <f t="shared" si="13"/>
        <v>12076.78</v>
      </c>
      <c r="T57" s="162">
        <f t="shared" si="13"/>
        <v>16854.260000000002</v>
      </c>
      <c r="U57" s="162">
        <f t="shared" si="13"/>
        <v>23799.260000000002</v>
      </c>
      <c r="V57" s="162">
        <f t="shared" si="13"/>
        <v>31206.660000000003</v>
      </c>
      <c r="W57" s="162">
        <f t="shared" si="13"/>
        <v>36355.570000000007</v>
      </c>
    </row>
    <row r="58" spans="1:32" x14ac:dyDescent="0.25">
      <c r="A58" t="s">
        <v>290</v>
      </c>
      <c r="C58" s="165"/>
      <c r="D58" s="165">
        <f t="shared" ref="D58:W58" si="14">D57/C57-1</f>
        <v>0.1537680943142814</v>
      </c>
      <c r="E58" s="165">
        <f t="shared" si="14"/>
        <v>0.15690560571177281</v>
      </c>
      <c r="F58" s="165">
        <f t="shared" si="14"/>
        <v>0.11755827603555247</v>
      </c>
      <c r="G58" s="165">
        <f t="shared" si="14"/>
        <v>0.17034813925570247</v>
      </c>
      <c r="H58" s="165">
        <f>H57/G57-1</f>
        <v>0.14541662392724031</v>
      </c>
      <c r="I58" s="165">
        <f t="shared" si="14"/>
        <v>0.17531343283582101</v>
      </c>
      <c r="J58" s="165">
        <f t="shared" si="14"/>
        <v>0.10265283315977958</v>
      </c>
      <c r="K58" s="165">
        <f t="shared" si="14"/>
        <v>6.8571165329755379E-2</v>
      </c>
      <c r="L58" s="165">
        <f t="shared" si="14"/>
        <v>0.15000511944472894</v>
      </c>
      <c r="M58" s="165">
        <f t="shared" si="14"/>
        <v>0.2090176801638215</v>
      </c>
      <c r="N58" s="165">
        <f t="shared" si="14"/>
        <v>0.16941335152398374</v>
      </c>
      <c r="O58" s="165">
        <f t="shared" si="14"/>
        <v>0.19416474986576859</v>
      </c>
      <c r="P58" s="165">
        <f t="shared" si="14"/>
        <v>0.20911127085409142</v>
      </c>
      <c r="Q58" s="165">
        <f t="shared" si="14"/>
        <v>0.27042493412052049</v>
      </c>
      <c r="R58" s="165">
        <f t="shared" si="14"/>
        <v>0.53828961086126514</v>
      </c>
      <c r="S58" s="165">
        <f t="shared" si="14"/>
        <v>0.41850967439576903</v>
      </c>
      <c r="T58" s="165">
        <f t="shared" si="14"/>
        <v>0.39559220255730421</v>
      </c>
      <c r="U58" s="165">
        <f t="shared" si="14"/>
        <v>0.412061995008977</v>
      </c>
      <c r="V58" s="165">
        <f t="shared" si="14"/>
        <v>0.31124497148230668</v>
      </c>
      <c r="W58" s="165">
        <f t="shared" si="14"/>
        <v>0.16499394680494484</v>
      </c>
    </row>
    <row r="60" spans="1:32" ht="15.75" x14ac:dyDescent="0.25">
      <c r="A60" s="40" t="s">
        <v>94</v>
      </c>
      <c r="B60" s="41" t="s">
        <v>88</v>
      </c>
      <c r="C60" s="41">
        <v>2000</v>
      </c>
      <c r="D60" s="41">
        <v>2001</v>
      </c>
      <c r="E60" s="41">
        <v>2002</v>
      </c>
      <c r="F60" s="41">
        <v>2003</v>
      </c>
      <c r="G60" s="41">
        <v>2004</v>
      </c>
      <c r="H60" s="41">
        <v>2005</v>
      </c>
      <c r="I60" s="41">
        <v>2006</v>
      </c>
      <c r="J60" s="41">
        <v>2007</v>
      </c>
      <c r="K60" s="41">
        <v>2008</v>
      </c>
      <c r="L60" s="41">
        <v>2009</v>
      </c>
      <c r="M60" s="41">
        <v>2010</v>
      </c>
      <c r="N60" s="41">
        <v>2011</v>
      </c>
      <c r="O60" s="41">
        <v>2012</v>
      </c>
      <c r="P60" s="41">
        <v>2013</v>
      </c>
      <c r="Q60" s="41">
        <v>2014</v>
      </c>
      <c r="R60" s="41">
        <v>2015</v>
      </c>
      <c r="S60" s="41">
        <v>2016</v>
      </c>
      <c r="T60" s="41">
        <v>2017</v>
      </c>
      <c r="U60" s="41">
        <v>2018</v>
      </c>
      <c r="V60" s="41">
        <v>2019</v>
      </c>
      <c r="W60" s="41">
        <v>2020</v>
      </c>
      <c r="X60" s="42" t="s">
        <v>89</v>
      </c>
      <c r="AF60">
        <v>30820</v>
      </c>
    </row>
    <row r="61" spans="1:32" x14ac:dyDescent="0.25">
      <c r="A61" s="43" t="s">
        <v>49</v>
      </c>
      <c r="B61" s="26">
        <f t="shared" ref="B61:W61" si="15">B5/$Y$5</f>
        <v>1.1414450458931514E-2</v>
      </c>
      <c r="C61" s="26">
        <f t="shared" si="15"/>
        <v>1.8834881563828166E-2</v>
      </c>
      <c r="D61" s="26">
        <f t="shared" si="15"/>
        <v>0</v>
      </c>
      <c r="E61" s="26">
        <f t="shared" si="15"/>
        <v>5.8491271302590225E-4</v>
      </c>
      <c r="F61" s="26">
        <f t="shared" si="15"/>
        <v>1.1525203161989672E-3</v>
      </c>
      <c r="G61" s="26">
        <f t="shared" si="15"/>
        <v>1.211357689698614E-4</v>
      </c>
      <c r="H61" s="26">
        <f t="shared" si="15"/>
        <v>6.3475142940207377E-3</v>
      </c>
      <c r="I61" s="26">
        <f t="shared" si="15"/>
        <v>7.0120305123696925E-3</v>
      </c>
      <c r="J61" s="26">
        <f t="shared" si="15"/>
        <v>4.5858541110018964E-3</v>
      </c>
      <c r="K61" s="26">
        <f t="shared" si="15"/>
        <v>3.9005717608295372E-3</v>
      </c>
      <c r="L61" s="26">
        <f t="shared" si="15"/>
        <v>1.8931790179004054E-3</v>
      </c>
      <c r="M61" s="26">
        <f t="shared" si="15"/>
        <v>3.2890091786302658E-2</v>
      </c>
      <c r="N61" s="26">
        <f t="shared" si="15"/>
        <v>2.1489485415253418E-2</v>
      </c>
      <c r="O61" s="26">
        <f t="shared" si="15"/>
        <v>1.686556006257528E-2</v>
      </c>
      <c r="P61" s="26">
        <f t="shared" si="15"/>
        <v>3.5150139133083215E-2</v>
      </c>
      <c r="Q61" s="26">
        <f t="shared" si="15"/>
        <v>5.1022385890105632E-2</v>
      </c>
      <c r="R61" s="26">
        <f t="shared" si="15"/>
        <v>9.0543795772015545E-2</v>
      </c>
      <c r="S61" s="26">
        <f t="shared" si="15"/>
        <v>0.13492448050060221</v>
      </c>
      <c r="T61" s="26">
        <f t="shared" si="15"/>
        <v>0.13983220965486687</v>
      </c>
      <c r="U61" s="26">
        <f t="shared" si="15"/>
        <v>0.17498580980992062</v>
      </c>
      <c r="V61" s="26">
        <f t="shared" si="15"/>
        <v>0.11740478728558967</v>
      </c>
      <c r="W61" s="26">
        <f t="shared" si="15"/>
        <v>0.12869464095358077</v>
      </c>
      <c r="X61" s="53">
        <f>X5/Y5</f>
        <v>3.3918015311561195E-4</v>
      </c>
      <c r="AF61">
        <v>5690</v>
      </c>
    </row>
    <row r="62" spans="1:32" x14ac:dyDescent="0.25">
      <c r="A62" s="43" t="s">
        <v>50</v>
      </c>
      <c r="B62" s="26">
        <f t="shared" ref="B62:W62" si="16">B14/$Y$14</f>
        <v>8.7712428537865123E-3</v>
      </c>
      <c r="C62" s="26">
        <f t="shared" si="16"/>
        <v>1.1694990471715351E-2</v>
      </c>
      <c r="D62" s="26">
        <f t="shared" si="16"/>
        <v>0</v>
      </c>
      <c r="E62" s="26">
        <f t="shared" si="16"/>
        <v>0</v>
      </c>
      <c r="F62" s="26">
        <f t="shared" si="16"/>
        <v>0</v>
      </c>
      <c r="G62" s="26">
        <f t="shared" si="16"/>
        <v>0</v>
      </c>
      <c r="H62" s="26">
        <f t="shared" si="16"/>
        <v>0</v>
      </c>
      <c r="I62" s="26">
        <f t="shared" si="16"/>
        <v>0</v>
      </c>
      <c r="J62" s="26">
        <f t="shared" si="16"/>
        <v>2.5060693867961464E-3</v>
      </c>
      <c r="K62" s="26">
        <f t="shared" si="16"/>
        <v>0</v>
      </c>
      <c r="L62" s="26">
        <f t="shared" si="16"/>
        <v>6.3695930247735389E-3</v>
      </c>
      <c r="M62" s="26">
        <f t="shared" si="16"/>
        <v>1.9839715978802828E-3</v>
      </c>
      <c r="N62" s="26">
        <f t="shared" si="16"/>
        <v>1.2321507818414387E-2</v>
      </c>
      <c r="O62" s="26">
        <f t="shared" si="16"/>
        <v>7.7792570548463717E-3</v>
      </c>
      <c r="P62" s="26">
        <f t="shared" si="16"/>
        <v>1.6628814576970262E-2</v>
      </c>
      <c r="Q62" s="26">
        <f t="shared" si="16"/>
        <v>1.0076487326076172E-2</v>
      </c>
      <c r="R62" s="26">
        <f t="shared" si="16"/>
        <v>4.7484793901897825E-2</v>
      </c>
      <c r="S62" s="26">
        <f t="shared" si="16"/>
        <v>6.6854621870676367E-2</v>
      </c>
      <c r="T62" s="26">
        <f t="shared" si="16"/>
        <v>0.17177017255331919</v>
      </c>
      <c r="U62" s="26">
        <f t="shared" si="16"/>
        <v>0.3269898451980055</v>
      </c>
      <c r="V62" s="26">
        <f t="shared" si="16"/>
        <v>0.21596575038504709</v>
      </c>
      <c r="W62" s="26">
        <f t="shared" si="16"/>
        <v>7.5129871824992811E-2</v>
      </c>
      <c r="X62" s="52">
        <f>X14/Y14</f>
        <v>1.767301015480199E-2</v>
      </c>
    </row>
    <row r="63" spans="1:32" x14ac:dyDescent="0.25">
      <c r="A63" s="43" t="s">
        <v>60</v>
      </c>
      <c r="B63" s="26">
        <f t="shared" ref="B63:W63" si="17">B18/$Y$18</f>
        <v>3.3473312640740068E-3</v>
      </c>
      <c r="C63" s="26">
        <f t="shared" si="17"/>
        <v>0</v>
      </c>
      <c r="D63" s="26">
        <f t="shared" si="17"/>
        <v>0</v>
      </c>
      <c r="E63" s="26">
        <f t="shared" si="17"/>
        <v>0</v>
      </c>
      <c r="F63" s="26">
        <f t="shared" si="17"/>
        <v>0</v>
      </c>
      <c r="G63" s="26">
        <f t="shared" si="17"/>
        <v>0</v>
      </c>
      <c r="H63" s="26">
        <f t="shared" si="17"/>
        <v>0</v>
      </c>
      <c r="I63" s="26">
        <f t="shared" si="17"/>
        <v>9.615969813158055E-3</v>
      </c>
      <c r="J63" s="26">
        <f t="shared" si="17"/>
        <v>3.8768182094820768E-2</v>
      </c>
      <c r="K63" s="26">
        <f t="shared" si="17"/>
        <v>0.13218915464670439</v>
      </c>
      <c r="L63" s="26">
        <f t="shared" si="17"/>
        <v>2.4344227375083685E-3</v>
      </c>
      <c r="M63" s="26">
        <f t="shared" si="17"/>
        <v>0</v>
      </c>
      <c r="N63" s="26">
        <f t="shared" si="17"/>
        <v>7.8510133284644887E-3</v>
      </c>
      <c r="O63" s="26">
        <f t="shared" si="17"/>
        <v>3.542085083074676E-2</v>
      </c>
      <c r="P63" s="26">
        <f t="shared" si="17"/>
        <v>2.3187876574767209E-2</v>
      </c>
      <c r="Q63" s="26">
        <f t="shared" si="17"/>
        <v>4.1385186537642268E-2</v>
      </c>
      <c r="R63" s="26">
        <f t="shared" si="17"/>
        <v>8.99519201509342E-2</v>
      </c>
      <c r="S63" s="26">
        <f t="shared" si="17"/>
        <v>9.6524861542206811E-2</v>
      </c>
      <c r="T63" s="26">
        <f t="shared" si="17"/>
        <v>0.21489866715355121</v>
      </c>
      <c r="U63" s="26">
        <f t="shared" si="17"/>
        <v>9.5064207899701783E-2</v>
      </c>
      <c r="V63" s="26">
        <f t="shared" si="17"/>
        <v>0.12482502586574157</v>
      </c>
      <c r="W63" s="26">
        <f t="shared" si="17"/>
        <v>8.4170166149351841E-2</v>
      </c>
      <c r="X63" s="53">
        <f>X18/Y18</f>
        <v>3.6516341062625522E-4</v>
      </c>
    </row>
    <row r="64" spans="1:32" x14ac:dyDescent="0.25">
      <c r="A64" s="43" t="s">
        <v>51</v>
      </c>
      <c r="B64" s="26">
        <f t="shared" ref="B64:W64" si="18">B22/$Y$22</f>
        <v>0.5145136941988353</v>
      </c>
      <c r="C64" s="26">
        <f t="shared" si="18"/>
        <v>7.7808928186327342E-2</v>
      </c>
      <c r="D64" s="26">
        <f t="shared" si="18"/>
        <v>5.0463661850334253E-3</v>
      </c>
      <c r="E64" s="26">
        <f t="shared" si="18"/>
        <v>1.1257278412766872E-2</v>
      </c>
      <c r="F64" s="26">
        <f t="shared" si="18"/>
        <v>7.7636402846668082E-4</v>
      </c>
      <c r="G64" s="26">
        <f t="shared" si="18"/>
        <v>2.4110416217381921E-2</v>
      </c>
      <c r="H64" s="26">
        <f t="shared" si="18"/>
        <v>0</v>
      </c>
      <c r="I64" s="26">
        <f t="shared" si="18"/>
        <v>1.7252533965926242E-4</v>
      </c>
      <c r="J64" s="26">
        <f t="shared" si="18"/>
        <v>3.4505067931852484E-4</v>
      </c>
      <c r="K64" s="26">
        <f t="shared" si="18"/>
        <v>0</v>
      </c>
      <c r="L64" s="26">
        <f t="shared" si="18"/>
        <v>1.2551218460211341E-2</v>
      </c>
      <c r="M64" s="26">
        <f t="shared" si="18"/>
        <v>5.8097908130256615E-2</v>
      </c>
      <c r="N64" s="26">
        <f t="shared" si="18"/>
        <v>4.6150528358852696E-3</v>
      </c>
      <c r="O64" s="26">
        <f t="shared" si="18"/>
        <v>6.46970023722234E-4</v>
      </c>
      <c r="P64" s="26">
        <f t="shared" si="18"/>
        <v>0</v>
      </c>
      <c r="Q64" s="26">
        <f t="shared" si="18"/>
        <v>0</v>
      </c>
      <c r="R64" s="26">
        <f t="shared" si="18"/>
        <v>3.6661634677593261E-3</v>
      </c>
      <c r="S64" s="26">
        <f t="shared" si="18"/>
        <v>2.8811731723096822E-2</v>
      </c>
      <c r="T64" s="26">
        <f t="shared" si="18"/>
        <v>1.8244554668966999E-2</v>
      </c>
      <c r="U64" s="26">
        <f t="shared" si="18"/>
        <v>0.11977571705844292</v>
      </c>
      <c r="V64" s="26">
        <f t="shared" si="18"/>
        <v>7.155488462367908E-2</v>
      </c>
      <c r="W64" s="26">
        <f t="shared" si="18"/>
        <v>4.8005175760189762E-2</v>
      </c>
      <c r="X64" s="54">
        <f>X22/Y22</f>
        <v>0</v>
      </c>
    </row>
    <row r="65" spans="1:47" x14ac:dyDescent="0.25">
      <c r="A65" s="43" t="s">
        <v>52</v>
      </c>
      <c r="B65" s="26">
        <f>B27/$Y$27</f>
        <v>7.8466069031816518E-3</v>
      </c>
      <c r="C65" s="26">
        <f t="shared" ref="C65:W65" si="19">C27/$Y$27</f>
        <v>7.7457551675403731E-3</v>
      </c>
      <c r="D65" s="26">
        <f t="shared" si="19"/>
        <v>3.4826326473819916E-3</v>
      </c>
      <c r="E65" s="26">
        <f t="shared" si="19"/>
        <v>4.0002242669104427E-3</v>
      </c>
      <c r="F65" s="26">
        <f t="shared" si="19"/>
        <v>3.4747696307048746E-3</v>
      </c>
      <c r="G65" s="26">
        <f t="shared" si="19"/>
        <v>5.5796650081399316E-3</v>
      </c>
      <c r="H65" s="26">
        <f t="shared" si="19"/>
        <v>4.4060243015077161E-3</v>
      </c>
      <c r="I65" s="26">
        <f t="shared" si="19"/>
        <v>7.1170557036613624E-3</v>
      </c>
      <c r="J65" s="26">
        <f t="shared" si="19"/>
        <v>4.7967820433313752E-3</v>
      </c>
      <c r="K65" s="26">
        <f t="shared" si="19"/>
        <v>2.8036782508274972E-3</v>
      </c>
      <c r="L65" s="26">
        <f t="shared" si="19"/>
        <v>8.7327346956636489E-3</v>
      </c>
      <c r="M65" s="26">
        <f t="shared" si="19"/>
        <v>1.0645157099654506E-2</v>
      </c>
      <c r="N65" s="26">
        <f t="shared" si="19"/>
        <v>1.1434193729688631E-2</v>
      </c>
      <c r="O65" s="26">
        <f t="shared" si="19"/>
        <v>1.3416699543192917E-2</v>
      </c>
      <c r="P65" s="26">
        <f t="shared" si="19"/>
        <v>1.8328691874358566E-2</v>
      </c>
      <c r="Q65" s="26">
        <f t="shared" si="19"/>
        <v>2.8672319377960168E-2</v>
      </c>
      <c r="R65" s="26">
        <f t="shared" si="19"/>
        <v>7.9610650763772411E-2</v>
      </c>
      <c r="S65" s="26">
        <f t="shared" si="19"/>
        <v>9.6281955470710945E-2</v>
      </c>
      <c r="T65" s="26">
        <f t="shared" si="19"/>
        <v>0.13171031552576576</v>
      </c>
      <c r="U65" s="26">
        <f t="shared" si="19"/>
        <v>0.19078652730210324</v>
      </c>
      <c r="V65" s="26">
        <f t="shared" si="19"/>
        <v>0.21727703048730873</v>
      </c>
      <c r="W65" s="26">
        <f t="shared" si="19"/>
        <v>0.14136097195091016</v>
      </c>
      <c r="X65" s="53">
        <f>X27/Y27</f>
        <v>4.8955825572307961E-4</v>
      </c>
    </row>
    <row r="66" spans="1:47" x14ac:dyDescent="0.25">
      <c r="A66" s="43" t="s">
        <v>53</v>
      </c>
      <c r="B66" s="26">
        <f>B33/$Y$33</f>
        <v>7.3225973082359356E-4</v>
      </c>
      <c r="C66" s="26">
        <f t="shared" ref="C66:W66" si="20">C33/$Y$33</f>
        <v>2.8949803311630442E-4</v>
      </c>
      <c r="D66" s="26">
        <f t="shared" si="20"/>
        <v>0</v>
      </c>
      <c r="E66" s="26">
        <f t="shared" si="20"/>
        <v>0</v>
      </c>
      <c r="F66" s="26">
        <f t="shared" si="20"/>
        <v>0</v>
      </c>
      <c r="G66" s="26">
        <f t="shared" si="20"/>
        <v>5.4493747410127886E-4</v>
      </c>
      <c r="H66" s="26">
        <f t="shared" si="20"/>
        <v>1.298767646608048E-2</v>
      </c>
      <c r="I66" s="26">
        <f t="shared" si="20"/>
        <v>1.816458247004263E-4</v>
      </c>
      <c r="J66" s="26">
        <f t="shared" si="20"/>
        <v>0</v>
      </c>
      <c r="K66" s="26">
        <f t="shared" si="20"/>
        <v>4.5865570736857639E-3</v>
      </c>
      <c r="L66" s="26">
        <f t="shared" si="20"/>
        <v>6.6868369217844429E-3</v>
      </c>
      <c r="M66" s="26">
        <f t="shared" si="20"/>
        <v>1.075683868147837E-2</v>
      </c>
      <c r="N66" s="26">
        <f t="shared" si="20"/>
        <v>7.1636572116230623E-3</v>
      </c>
      <c r="O66" s="26">
        <f t="shared" si="20"/>
        <v>2.7195785816866946E-2</v>
      </c>
      <c r="P66" s="26">
        <f t="shared" si="20"/>
        <v>2.2643287335312515E-2</v>
      </c>
      <c r="Q66" s="26">
        <f t="shared" si="20"/>
        <v>3.7770978673644887E-2</v>
      </c>
      <c r="R66" s="26">
        <f t="shared" si="20"/>
        <v>4.8612963835451592E-2</v>
      </c>
      <c r="S66" s="26">
        <f t="shared" si="20"/>
        <v>7.2363155415032313E-2</v>
      </c>
      <c r="T66" s="26">
        <f t="shared" si="20"/>
        <v>0.13382756134803905</v>
      </c>
      <c r="U66" s="26">
        <f t="shared" si="20"/>
        <v>0.23805820613395243</v>
      </c>
      <c r="V66" s="26">
        <f t="shared" si="20"/>
        <v>0.18694761220886999</v>
      </c>
      <c r="W66" s="26">
        <f t="shared" si="20"/>
        <v>0.18438186493497646</v>
      </c>
      <c r="X66" s="52">
        <f>X33/Y33</f>
        <v>4.2686768804600182E-3</v>
      </c>
    </row>
    <row r="67" spans="1:47" x14ac:dyDescent="0.25">
      <c r="A67" s="43" t="s">
        <v>54</v>
      </c>
      <c r="B67" s="26">
        <f>B45/$Y$45</f>
        <v>3.8565706322146352E-4</v>
      </c>
      <c r="C67" s="26">
        <f t="shared" ref="C67:W67" si="21">C45/$Y$45</f>
        <v>1.3760945210402223E-3</v>
      </c>
      <c r="D67" s="26">
        <f t="shared" si="21"/>
        <v>0</v>
      </c>
      <c r="E67" s="26">
        <f t="shared" si="21"/>
        <v>0</v>
      </c>
      <c r="F67" s="26">
        <f t="shared" si="21"/>
        <v>0</v>
      </c>
      <c r="G67" s="26">
        <f t="shared" si="21"/>
        <v>0</v>
      </c>
      <c r="H67" s="26">
        <f t="shared" si="21"/>
        <v>1.7529866510066524E-5</v>
      </c>
      <c r="I67" s="26">
        <f t="shared" si="21"/>
        <v>3.979279697785101E-3</v>
      </c>
      <c r="J67" s="26">
        <f t="shared" si="21"/>
        <v>4.7330639577179619E-4</v>
      </c>
      <c r="K67" s="26">
        <f t="shared" si="21"/>
        <v>0</v>
      </c>
      <c r="L67" s="26">
        <f t="shared" si="21"/>
        <v>1.1131465233892243E-3</v>
      </c>
      <c r="M67" s="26">
        <f t="shared" si="21"/>
        <v>4.619119825402529E-3</v>
      </c>
      <c r="N67" s="26">
        <f t="shared" si="21"/>
        <v>2.0010342621240938E-2</v>
      </c>
      <c r="O67" s="26">
        <f t="shared" si="21"/>
        <v>7.3301136811843165E-2</v>
      </c>
      <c r="P67" s="26">
        <f t="shared" si="21"/>
        <v>4.4823868666240101E-2</v>
      </c>
      <c r="Q67" s="26">
        <f t="shared" si="21"/>
        <v>9.1015066920265397E-2</v>
      </c>
      <c r="R67" s="26">
        <f t="shared" si="21"/>
        <v>8.0462087281205352E-2</v>
      </c>
      <c r="S67" s="26">
        <f t="shared" si="21"/>
        <v>8.9691561998755359E-2</v>
      </c>
      <c r="T67" s="26">
        <f t="shared" si="21"/>
        <v>9.12780149179164E-2</v>
      </c>
      <c r="U67" s="26">
        <f t="shared" si="21"/>
        <v>0.16995205581509493</v>
      </c>
      <c r="V67" s="26">
        <f t="shared" si="21"/>
        <v>0.15216800624063248</v>
      </c>
      <c r="W67" s="26">
        <f t="shared" si="21"/>
        <v>0.17533372483368534</v>
      </c>
      <c r="X67" s="54">
        <f>X45/Y45</f>
        <v>0</v>
      </c>
    </row>
    <row r="68" spans="1:47" x14ac:dyDescent="0.25">
      <c r="A68" s="43" t="s">
        <v>55</v>
      </c>
      <c r="B68" s="26">
        <f>B48/$Y$48</f>
        <v>4.5602605863192189E-3</v>
      </c>
      <c r="C68" s="26">
        <f t="shared" ref="C68:W68" si="22">C48/$Y$48</f>
        <v>7.38327904451683E-2</v>
      </c>
      <c r="D68" s="26">
        <f t="shared" si="22"/>
        <v>0</v>
      </c>
      <c r="E68" s="26">
        <f t="shared" si="22"/>
        <v>0</v>
      </c>
      <c r="F68" s="26">
        <f t="shared" si="22"/>
        <v>0</v>
      </c>
      <c r="G68" s="26">
        <f t="shared" si="22"/>
        <v>3.6916395222584154E-3</v>
      </c>
      <c r="H68" s="26">
        <f t="shared" si="22"/>
        <v>0</v>
      </c>
      <c r="I68" s="26">
        <f t="shared" si="22"/>
        <v>0</v>
      </c>
      <c r="J68" s="26">
        <f t="shared" si="22"/>
        <v>0</v>
      </c>
      <c r="K68" s="26">
        <f t="shared" si="22"/>
        <v>0</v>
      </c>
      <c r="L68" s="26">
        <f t="shared" si="22"/>
        <v>6.5146579804560263E-3</v>
      </c>
      <c r="M68" s="26">
        <f t="shared" si="22"/>
        <v>0</v>
      </c>
      <c r="N68" s="26">
        <f t="shared" si="22"/>
        <v>0</v>
      </c>
      <c r="O68" s="26">
        <f t="shared" si="22"/>
        <v>0</v>
      </c>
      <c r="P68" s="26">
        <f t="shared" si="22"/>
        <v>0</v>
      </c>
      <c r="Q68" s="26">
        <f t="shared" si="22"/>
        <v>0</v>
      </c>
      <c r="R68" s="26">
        <f t="shared" si="22"/>
        <v>6.297502714440825E-3</v>
      </c>
      <c r="S68" s="26">
        <f t="shared" si="22"/>
        <v>0.1229098805646037</v>
      </c>
      <c r="T68" s="26">
        <f t="shared" si="22"/>
        <v>6.7752442996742684E-2</v>
      </c>
      <c r="U68" s="26">
        <f t="shared" si="22"/>
        <v>5.5808903365906631E-2</v>
      </c>
      <c r="V68" s="26">
        <f t="shared" si="22"/>
        <v>0.51270358306188923</v>
      </c>
      <c r="W68" s="26">
        <f t="shared" si="22"/>
        <v>0.144842562432139</v>
      </c>
      <c r="X68" s="51">
        <f>X48/Y48</f>
        <v>1.0857763300760044E-3</v>
      </c>
    </row>
    <row r="69" spans="1:47" x14ac:dyDescent="0.25">
      <c r="A69" s="43" t="s">
        <v>56</v>
      </c>
      <c r="B69" s="26">
        <f>B52/$Y$52</f>
        <v>3.5423308537017357E-4</v>
      </c>
      <c r="C69" s="26">
        <f t="shared" ref="C69:W69" si="23">C52/$Y$52</f>
        <v>2.7248698874628735E-5</v>
      </c>
      <c r="D69" s="26">
        <f t="shared" si="23"/>
        <v>0</v>
      </c>
      <c r="E69" s="26">
        <f t="shared" si="23"/>
        <v>0</v>
      </c>
      <c r="F69" s="26">
        <f t="shared" si="23"/>
        <v>0</v>
      </c>
      <c r="G69" s="26">
        <f t="shared" si="23"/>
        <v>0</v>
      </c>
      <c r="H69" s="26">
        <f t="shared" si="23"/>
        <v>0</v>
      </c>
      <c r="I69" s="26">
        <f t="shared" si="23"/>
        <v>0</v>
      </c>
      <c r="J69" s="26">
        <f t="shared" si="23"/>
        <v>0</v>
      </c>
      <c r="K69" s="26">
        <f t="shared" si="23"/>
        <v>0</v>
      </c>
      <c r="L69" s="26">
        <f t="shared" si="23"/>
        <v>0</v>
      </c>
      <c r="M69" s="26">
        <f t="shared" si="23"/>
        <v>3.2425951660808193E-3</v>
      </c>
      <c r="N69" s="26">
        <f t="shared" si="23"/>
        <v>7.3843973950243873E-3</v>
      </c>
      <c r="O69" s="26">
        <f t="shared" si="23"/>
        <v>1.2588898880078477E-2</v>
      </c>
      <c r="P69" s="26">
        <f t="shared" si="23"/>
        <v>2.2343933077195563E-3</v>
      </c>
      <c r="Q69" s="26">
        <f t="shared" si="23"/>
        <v>2.0436524155971553E-2</v>
      </c>
      <c r="R69" s="26">
        <f t="shared" si="23"/>
        <v>0.34088122292160544</v>
      </c>
      <c r="S69" s="26">
        <f t="shared" si="23"/>
        <v>0.17174854900678493</v>
      </c>
      <c r="T69" s="26">
        <f t="shared" si="23"/>
        <v>0.1369247118450094</v>
      </c>
      <c r="U69" s="26">
        <f t="shared" si="23"/>
        <v>0.11744189214964984</v>
      </c>
      <c r="V69" s="26">
        <f t="shared" si="23"/>
        <v>8.4579961306847598E-2</v>
      </c>
      <c r="W69" s="26">
        <f t="shared" si="23"/>
        <v>9.8722036022779916E-2</v>
      </c>
      <c r="X69" s="52">
        <f>X52/Y52</f>
        <v>3.4333360582032208E-3</v>
      </c>
    </row>
    <row r="70" spans="1:47" x14ac:dyDescent="0.25">
      <c r="A70" s="43" t="s">
        <v>57</v>
      </c>
      <c r="B70" s="26">
        <f>B54/$Y$54</f>
        <v>0</v>
      </c>
      <c r="C70" s="26">
        <f t="shared" ref="C70:W70" si="24">C54/$Y$54</f>
        <v>0</v>
      </c>
      <c r="D70" s="26">
        <f t="shared" si="24"/>
        <v>0</v>
      </c>
      <c r="E70" s="26">
        <f t="shared" si="24"/>
        <v>0</v>
      </c>
      <c r="F70" s="26">
        <f t="shared" si="24"/>
        <v>0</v>
      </c>
      <c r="G70" s="26">
        <f t="shared" si="24"/>
        <v>0</v>
      </c>
      <c r="H70" s="26">
        <f t="shared" si="24"/>
        <v>0</v>
      </c>
      <c r="I70" s="26">
        <f t="shared" si="24"/>
        <v>0</v>
      </c>
      <c r="J70" s="26">
        <f t="shared" si="24"/>
        <v>0</v>
      </c>
      <c r="K70" s="26">
        <f t="shared" si="24"/>
        <v>0</v>
      </c>
      <c r="L70" s="26">
        <f t="shared" si="24"/>
        <v>0</v>
      </c>
      <c r="M70" s="26">
        <f t="shared" si="24"/>
        <v>0</v>
      </c>
      <c r="N70" s="26">
        <f t="shared" si="24"/>
        <v>0</v>
      </c>
      <c r="O70" s="26">
        <f t="shared" si="24"/>
        <v>0</v>
      </c>
      <c r="P70" s="26">
        <f t="shared" si="24"/>
        <v>0</v>
      </c>
      <c r="Q70" s="26">
        <f t="shared" si="24"/>
        <v>0</v>
      </c>
      <c r="R70" s="26">
        <f t="shared" si="24"/>
        <v>0</v>
      </c>
      <c r="S70" s="26">
        <f t="shared" si="24"/>
        <v>3.1442241968557758E-2</v>
      </c>
      <c r="T70" s="26">
        <f t="shared" si="24"/>
        <v>0</v>
      </c>
      <c r="U70" s="26">
        <f t="shared" si="24"/>
        <v>0.16473000683527</v>
      </c>
      <c r="V70" s="26">
        <f t="shared" si="24"/>
        <v>0</v>
      </c>
      <c r="W70" s="26">
        <f t="shared" si="24"/>
        <v>0.78879015721120971</v>
      </c>
      <c r="X70" s="51">
        <f>X54/Y54</f>
        <v>1.5037593984962405E-2</v>
      </c>
    </row>
    <row r="71" spans="1:47" x14ac:dyDescent="0.25">
      <c r="A71" s="43" t="s">
        <v>59</v>
      </c>
      <c r="B71" s="26">
        <f>B56/$Y$56</f>
        <v>9.9218533835278566E-3</v>
      </c>
      <c r="C71" s="26">
        <f t="shared" ref="C71:W71" si="25">C56/$Y$56</f>
        <v>8.4903148587928759E-3</v>
      </c>
      <c r="D71" s="26">
        <f t="shared" si="25"/>
        <v>2.8312040228155922E-3</v>
      </c>
      <c r="E71" s="26">
        <f t="shared" si="25"/>
        <v>3.3332041926218891E-3</v>
      </c>
      <c r="F71" s="26">
        <f t="shared" si="25"/>
        <v>2.8891799592300027E-3</v>
      </c>
      <c r="G71" s="26">
        <f t="shared" si="25"/>
        <v>4.6787404988843069E-3</v>
      </c>
      <c r="H71" s="26">
        <f t="shared" si="25"/>
        <v>4.6743442193457729E-3</v>
      </c>
      <c r="I71" s="26">
        <f t="shared" si="25"/>
        <v>6.4548374324518518E-3</v>
      </c>
      <c r="J71" s="26">
        <f t="shared" si="25"/>
        <v>4.4421657062169717E-3</v>
      </c>
      <c r="K71" s="26">
        <f t="shared" si="25"/>
        <v>3.2719310465535788E-3</v>
      </c>
      <c r="L71" s="26">
        <f t="shared" si="25"/>
        <v>7.6484273271637043E-3</v>
      </c>
      <c r="M71" s="26">
        <f t="shared" si="25"/>
        <v>1.2256003051018002E-2</v>
      </c>
      <c r="N71" s="26">
        <f t="shared" si="25"/>
        <v>1.2010086164331283E-2</v>
      </c>
      <c r="O71" s="26">
        <f t="shared" si="25"/>
        <v>1.6096702762869355E-2</v>
      </c>
      <c r="P71" s="26">
        <f t="shared" si="25"/>
        <v>2.0701805579483222E-2</v>
      </c>
      <c r="Q71" s="26">
        <f t="shared" si="25"/>
        <v>3.2370081009693526E-2</v>
      </c>
      <c r="R71" s="26">
        <f t="shared" si="25"/>
        <v>8.1858175472551961E-2</v>
      </c>
      <c r="S71" s="26">
        <f t="shared" si="25"/>
        <v>9.7901573346016638E-2</v>
      </c>
      <c r="T71" s="26">
        <f t="shared" si="25"/>
        <v>0.13126960981095726</v>
      </c>
      <c r="U71" s="26">
        <f t="shared" si="25"/>
        <v>0.19082600871947097</v>
      </c>
      <c r="V71" s="26">
        <f t="shared" si="25"/>
        <v>0.20353125658583285</v>
      </c>
      <c r="W71" s="26">
        <f t="shared" si="25"/>
        <v>0.14147529799219166</v>
      </c>
      <c r="X71" s="52">
        <f>X56/Y56</f>
        <v>1.0671968579790143E-3</v>
      </c>
    </row>
    <row r="75" spans="1:47" ht="18.75" x14ac:dyDescent="0.3">
      <c r="A75" s="79" t="s">
        <v>97</v>
      </c>
      <c r="D75" s="33"/>
      <c r="E75" s="34"/>
      <c r="Z75" s="35"/>
    </row>
    <row r="76" spans="1:47" ht="63.75" x14ac:dyDescent="0.25">
      <c r="A76" s="76" t="s">
        <v>2</v>
      </c>
      <c r="B76" s="77" t="s">
        <v>92</v>
      </c>
      <c r="C76" s="77">
        <v>2000</v>
      </c>
      <c r="D76" s="77">
        <v>2001</v>
      </c>
      <c r="E76" s="77">
        <v>2002</v>
      </c>
      <c r="F76" s="77">
        <v>2003</v>
      </c>
      <c r="G76" s="77">
        <v>2004</v>
      </c>
      <c r="H76" s="77">
        <v>2005</v>
      </c>
      <c r="I76" s="77">
        <v>2006</v>
      </c>
      <c r="J76" s="77">
        <v>2007</v>
      </c>
      <c r="K76" s="77">
        <v>2008</v>
      </c>
      <c r="L76" s="77">
        <v>2009</v>
      </c>
      <c r="M76" s="77">
        <v>2010</v>
      </c>
      <c r="N76" s="77">
        <v>2011</v>
      </c>
      <c r="O76" s="77">
        <v>2012</v>
      </c>
      <c r="P76" s="77">
        <v>2013</v>
      </c>
      <c r="Q76" s="77">
        <v>2014</v>
      </c>
      <c r="R76" s="77">
        <v>2015</v>
      </c>
      <c r="S76" s="77">
        <v>2016</v>
      </c>
      <c r="T76" s="77">
        <v>2017</v>
      </c>
      <c r="U76" s="77">
        <v>2018</v>
      </c>
      <c r="V76" s="77">
        <v>2019</v>
      </c>
      <c r="W76" s="77">
        <v>2020</v>
      </c>
      <c r="X76" s="76" t="s">
        <v>89</v>
      </c>
      <c r="Y76" s="76" t="s">
        <v>90</v>
      </c>
      <c r="Z76" s="78" t="s">
        <v>91</v>
      </c>
      <c r="AB76" s="201" t="s">
        <v>250</v>
      </c>
      <c r="AC76" s="201" t="s">
        <v>251</v>
      </c>
      <c r="AD76" s="201" t="s">
        <v>252</v>
      </c>
      <c r="AE76" s="201" t="s">
        <v>103</v>
      </c>
      <c r="AF76" s="201" t="s">
        <v>254</v>
      </c>
      <c r="AS76" s="250" t="s">
        <v>288</v>
      </c>
      <c r="AT76" t="s">
        <v>103</v>
      </c>
      <c r="AU76" t="s">
        <v>287</v>
      </c>
    </row>
    <row r="77" spans="1:47" x14ac:dyDescent="0.25">
      <c r="A77" s="60" t="s">
        <v>49</v>
      </c>
      <c r="B77" s="61">
        <v>70.22</v>
      </c>
      <c r="C77" s="61">
        <v>0.24</v>
      </c>
      <c r="D77" s="61"/>
      <c r="E77" s="61">
        <v>4.16</v>
      </c>
      <c r="F77" s="61">
        <v>6.36</v>
      </c>
      <c r="G77" s="61">
        <v>2.7</v>
      </c>
      <c r="H77" s="61">
        <v>16.02</v>
      </c>
      <c r="I77" s="61">
        <v>2.16</v>
      </c>
      <c r="J77" s="61"/>
      <c r="K77" s="61">
        <v>2.04</v>
      </c>
      <c r="L77" s="61">
        <v>14.73</v>
      </c>
      <c r="M77" s="61">
        <v>2.5</v>
      </c>
      <c r="N77" s="61">
        <v>23.1</v>
      </c>
      <c r="O77" s="61">
        <v>19.45</v>
      </c>
      <c r="P77" s="61">
        <v>59.38</v>
      </c>
      <c r="Q77" s="61">
        <v>123.86000000000001</v>
      </c>
      <c r="R77" s="61">
        <v>80.22999999999999</v>
      </c>
      <c r="S77" s="61">
        <v>72.59</v>
      </c>
      <c r="T77" s="61">
        <v>123.9</v>
      </c>
      <c r="U77" s="61">
        <v>183.85000000000002</v>
      </c>
      <c r="V77" s="61">
        <v>85.7</v>
      </c>
      <c r="W77" s="61">
        <v>122.11</v>
      </c>
      <c r="X77" s="61">
        <v>0.1</v>
      </c>
      <c r="Y77" s="61">
        <v>1015.4000000000001</v>
      </c>
      <c r="Z77" s="62">
        <f t="shared" ref="Z77:Z115" si="26">Y77/$Y$124</f>
        <v>8.6570121457351823E-2</v>
      </c>
      <c r="AB77" s="61">
        <f>SUM(B77:T77)</f>
        <v>623.64</v>
      </c>
      <c r="AC77" s="61">
        <f>SUM(U77:W77)</f>
        <v>391.66</v>
      </c>
      <c r="AD77" s="61">
        <f>X77</f>
        <v>0.1</v>
      </c>
      <c r="AE77" s="61">
        <f>AB77+AC77+AD77</f>
        <v>1015.4</v>
      </c>
      <c r="AF77" s="193">
        <f t="shared" ref="AF77:AF123" si="27">AC77/AE77</f>
        <v>0.3857199133346465</v>
      </c>
      <c r="AR77" s="60" t="s">
        <v>52</v>
      </c>
      <c r="AS77" s="162">
        <v>4821.71</v>
      </c>
      <c r="AT77" s="162">
        <v>8552.44</v>
      </c>
      <c r="AU77" s="249">
        <f>AS77/AT77</f>
        <v>0.56378179794304317</v>
      </c>
    </row>
    <row r="78" spans="1:47" x14ac:dyDescent="0.25">
      <c r="A78" s="13" t="s">
        <v>11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>
        <v>1.1200000000000001</v>
      </c>
      <c r="S78" s="14"/>
      <c r="T78" s="14">
        <v>0.17</v>
      </c>
      <c r="U78" s="14">
        <v>0.9</v>
      </c>
      <c r="V78" s="14">
        <v>2</v>
      </c>
      <c r="W78" s="14"/>
      <c r="X78" s="14"/>
      <c r="Y78" s="14">
        <v>4.1899999999999995</v>
      </c>
      <c r="Z78" s="26">
        <f t="shared" si="26"/>
        <v>3.5722750532430969E-4</v>
      </c>
      <c r="AB78" s="14">
        <f t="shared" ref="AB78:AB123" si="28">SUM(B78:T78)</f>
        <v>1.29</v>
      </c>
      <c r="AC78" s="14">
        <f t="shared" ref="AC78:AC123" si="29">SUM(U78:W78)</f>
        <v>2.9</v>
      </c>
      <c r="AD78" s="14">
        <f t="shared" ref="AD78:AD116" si="30">X78</f>
        <v>0</v>
      </c>
      <c r="AE78" s="14">
        <f t="shared" ref="AE78:AE123" si="31">AB78+AC78+AD78</f>
        <v>4.1899999999999995</v>
      </c>
      <c r="AF78" s="190">
        <f t="shared" si="27"/>
        <v>0.69212410501193322</v>
      </c>
      <c r="AR78" s="60" t="s">
        <v>49</v>
      </c>
      <c r="AS78" s="162">
        <v>391.66</v>
      </c>
      <c r="AT78" s="162">
        <v>1015.4</v>
      </c>
      <c r="AU78" s="249">
        <f t="shared" ref="AU78:AU82" si="32">AS78/AT78</f>
        <v>0.3857199133346465</v>
      </c>
    </row>
    <row r="79" spans="1:47" x14ac:dyDescent="0.25">
      <c r="A79" s="13" t="s">
        <v>12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>
        <v>1.97</v>
      </c>
      <c r="T79" s="14"/>
      <c r="U79" s="14"/>
      <c r="V79" s="14"/>
      <c r="W79" s="14"/>
      <c r="X79" s="14"/>
      <c r="Y79" s="14">
        <v>1.97</v>
      </c>
      <c r="Z79" s="26">
        <f t="shared" si="26"/>
        <v>1.6795660751524826E-4</v>
      </c>
      <c r="AB79" s="14">
        <f t="shared" si="28"/>
        <v>1.97</v>
      </c>
      <c r="AC79" s="14">
        <f t="shared" si="29"/>
        <v>0</v>
      </c>
      <c r="AD79" s="14">
        <f t="shared" si="30"/>
        <v>0</v>
      </c>
      <c r="AE79" s="14">
        <f t="shared" si="31"/>
        <v>1.97</v>
      </c>
      <c r="AF79" s="190">
        <f t="shared" si="27"/>
        <v>0</v>
      </c>
      <c r="AR79" s="60" t="s">
        <v>50</v>
      </c>
      <c r="AS79" s="162">
        <v>272.49</v>
      </c>
      <c r="AT79" s="162">
        <v>396.17</v>
      </c>
      <c r="AU79" s="249">
        <f t="shared" si="32"/>
        <v>0.68781078829795295</v>
      </c>
    </row>
    <row r="80" spans="1:47" x14ac:dyDescent="0.25">
      <c r="A80" s="13" t="s">
        <v>13</v>
      </c>
      <c r="B80" s="14">
        <v>9.83</v>
      </c>
      <c r="C80" s="14">
        <v>0.24</v>
      </c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>
        <v>11.309999999999999</v>
      </c>
      <c r="P80" s="14">
        <v>36.6</v>
      </c>
      <c r="Q80" s="14"/>
      <c r="R80" s="14">
        <v>33.81</v>
      </c>
      <c r="S80" s="14">
        <v>13.45</v>
      </c>
      <c r="T80" s="14">
        <v>77.48</v>
      </c>
      <c r="U80" s="14">
        <v>72.740000000000009</v>
      </c>
      <c r="V80" s="14">
        <v>14.669999999999998</v>
      </c>
      <c r="W80" s="14">
        <v>42.9</v>
      </c>
      <c r="X80" s="14">
        <v>0.03</v>
      </c>
      <c r="Y80" s="14">
        <v>313.06</v>
      </c>
      <c r="Z80" s="26">
        <f t="shared" si="26"/>
        <v>2.669060687752468E-2</v>
      </c>
      <c r="AB80" s="14">
        <f t="shared" si="28"/>
        <v>182.72000000000003</v>
      </c>
      <c r="AC80" s="14">
        <f t="shared" si="29"/>
        <v>130.31</v>
      </c>
      <c r="AD80" s="14">
        <f t="shared" si="30"/>
        <v>0.03</v>
      </c>
      <c r="AE80" s="14">
        <f t="shared" si="31"/>
        <v>313.06</v>
      </c>
      <c r="AF80" s="190">
        <f t="shared" si="27"/>
        <v>0.41624608701207438</v>
      </c>
      <c r="AR80" s="60" t="s">
        <v>293</v>
      </c>
      <c r="AS80" s="162">
        <v>253.34</v>
      </c>
      <c r="AT80" s="162">
        <v>486.87</v>
      </c>
      <c r="AU80" s="249">
        <f t="shared" si="32"/>
        <v>0.52034423973545296</v>
      </c>
    </row>
    <row r="81" spans="1:47" x14ac:dyDescent="0.25">
      <c r="A81" s="13" t="s">
        <v>14</v>
      </c>
      <c r="B81" s="14">
        <v>26.5</v>
      </c>
      <c r="C81" s="14"/>
      <c r="D81" s="14"/>
      <c r="E81" s="14">
        <v>4.16</v>
      </c>
      <c r="F81" s="14">
        <v>6.36</v>
      </c>
      <c r="G81" s="14"/>
      <c r="H81" s="14">
        <v>0.72</v>
      </c>
      <c r="I81" s="14">
        <v>0.89</v>
      </c>
      <c r="J81" s="14"/>
      <c r="K81" s="14">
        <v>2.04</v>
      </c>
      <c r="L81" s="14">
        <v>11.97</v>
      </c>
      <c r="M81" s="14">
        <v>0.94</v>
      </c>
      <c r="N81" s="14">
        <v>6.38</v>
      </c>
      <c r="O81" s="14">
        <v>5.8</v>
      </c>
      <c r="P81" s="14">
        <v>9.08</v>
      </c>
      <c r="Q81" s="14">
        <v>105.9</v>
      </c>
      <c r="R81" s="14">
        <v>10.06</v>
      </c>
      <c r="S81" s="14">
        <v>24</v>
      </c>
      <c r="T81" s="14">
        <v>10.84</v>
      </c>
      <c r="U81" s="14">
        <v>49.99</v>
      </c>
      <c r="V81" s="14">
        <v>36.67</v>
      </c>
      <c r="W81" s="14">
        <v>60.849999999999994</v>
      </c>
      <c r="X81" s="14">
        <v>7.0000000000000007E-2</v>
      </c>
      <c r="Y81" s="14">
        <v>373.21999999999997</v>
      </c>
      <c r="Z81" s="26">
        <f t="shared" si="26"/>
        <v>3.1819677693827896E-2</v>
      </c>
      <c r="AB81" s="14">
        <f t="shared" si="28"/>
        <v>225.64000000000001</v>
      </c>
      <c r="AC81" s="14">
        <f t="shared" si="29"/>
        <v>147.51</v>
      </c>
      <c r="AD81" s="14">
        <f t="shared" si="30"/>
        <v>7.0000000000000007E-2</v>
      </c>
      <c r="AE81" s="14">
        <f t="shared" si="31"/>
        <v>373.21999999999997</v>
      </c>
      <c r="AF81" s="190">
        <f t="shared" si="27"/>
        <v>0.39523605380204707</v>
      </c>
      <c r="AR81" s="60" t="s">
        <v>54</v>
      </c>
      <c r="AS81" s="162">
        <v>181.82999999999998</v>
      </c>
      <c r="AT81" s="162">
        <v>424.34</v>
      </c>
      <c r="AU81" s="249">
        <f t="shared" si="32"/>
        <v>0.42850073054626009</v>
      </c>
    </row>
    <row r="82" spans="1:47" x14ac:dyDescent="0.25">
      <c r="A82" s="13" t="s">
        <v>16</v>
      </c>
      <c r="B82" s="14">
        <v>33.89</v>
      </c>
      <c r="C82" s="14"/>
      <c r="D82" s="14"/>
      <c r="E82" s="14"/>
      <c r="F82" s="14"/>
      <c r="G82" s="14"/>
      <c r="H82" s="14">
        <v>5.01</v>
      </c>
      <c r="I82" s="14"/>
      <c r="J82" s="14"/>
      <c r="K82" s="14"/>
      <c r="L82" s="14"/>
      <c r="M82" s="14">
        <v>0.97</v>
      </c>
      <c r="N82" s="14">
        <v>9.0500000000000007</v>
      </c>
      <c r="O82" s="14">
        <v>2.34</v>
      </c>
      <c r="P82" s="14">
        <v>12.67</v>
      </c>
      <c r="Q82" s="14">
        <v>17.96</v>
      </c>
      <c r="R82" s="14">
        <v>20.48</v>
      </c>
      <c r="S82" s="14">
        <v>7.98</v>
      </c>
      <c r="T82" s="14">
        <v>8.879999999999999</v>
      </c>
      <c r="U82" s="14">
        <v>10.26</v>
      </c>
      <c r="V82" s="14">
        <v>23.81</v>
      </c>
      <c r="W82" s="14">
        <v>15.02</v>
      </c>
      <c r="X82" s="14"/>
      <c r="Y82" s="14">
        <v>168.32000000000002</v>
      </c>
      <c r="Z82" s="26">
        <f t="shared" si="26"/>
        <v>1.4350485369018574E-2</v>
      </c>
      <c r="AB82" s="14">
        <f>SUM(B82:T82)</f>
        <v>119.23000000000002</v>
      </c>
      <c r="AC82" s="14">
        <f>SUM(U82:W82)</f>
        <v>49.09</v>
      </c>
      <c r="AD82" s="14">
        <f t="shared" si="30"/>
        <v>0</v>
      </c>
      <c r="AE82" s="14">
        <f t="shared" si="31"/>
        <v>168.32000000000002</v>
      </c>
      <c r="AF82" s="190">
        <f t="shared" si="27"/>
        <v>0.29164686311787069</v>
      </c>
      <c r="AR82" s="60" t="s">
        <v>51</v>
      </c>
      <c r="AS82" s="162">
        <v>109.93</v>
      </c>
      <c r="AT82" s="162">
        <v>323.35000000000002</v>
      </c>
      <c r="AU82" s="249">
        <f t="shared" si="32"/>
        <v>0.33997216638317612</v>
      </c>
    </row>
    <row r="83" spans="1:47" x14ac:dyDescent="0.25">
      <c r="A83" s="13" t="s">
        <v>17</v>
      </c>
      <c r="B83" s="14"/>
      <c r="C83" s="14"/>
      <c r="D83" s="14"/>
      <c r="E83" s="14"/>
      <c r="F83" s="14"/>
      <c r="G83" s="14">
        <v>0.22</v>
      </c>
      <c r="H83" s="14"/>
      <c r="I83" s="14"/>
      <c r="J83" s="14"/>
      <c r="K83" s="14"/>
      <c r="L83" s="14"/>
      <c r="M83" s="14"/>
      <c r="N83" s="14">
        <v>4.17</v>
      </c>
      <c r="O83" s="14"/>
      <c r="P83" s="14"/>
      <c r="Q83" s="14"/>
      <c r="R83" s="14">
        <v>12.54</v>
      </c>
      <c r="S83" s="14">
        <v>20.420000000000002</v>
      </c>
      <c r="T83" s="14">
        <v>1.47</v>
      </c>
      <c r="U83" s="14">
        <v>26.31</v>
      </c>
      <c r="V83" s="14">
        <v>4.45</v>
      </c>
      <c r="W83" s="14"/>
      <c r="X83" s="14"/>
      <c r="Y83" s="14">
        <v>69.58</v>
      </c>
      <c r="Z83" s="26">
        <f t="shared" si="26"/>
        <v>5.9321932745740984E-3</v>
      </c>
      <c r="AB83" s="14">
        <f t="shared" si="28"/>
        <v>38.82</v>
      </c>
      <c r="AC83" s="14">
        <f t="shared" si="29"/>
        <v>30.759999999999998</v>
      </c>
      <c r="AD83" s="14">
        <f t="shared" si="30"/>
        <v>0</v>
      </c>
      <c r="AE83" s="14">
        <f t="shared" si="31"/>
        <v>69.58</v>
      </c>
      <c r="AF83" s="190">
        <f t="shared" si="27"/>
        <v>0.44208105777522277</v>
      </c>
    </row>
    <row r="84" spans="1:47" x14ac:dyDescent="0.25">
      <c r="A84" s="13" t="s">
        <v>18</v>
      </c>
      <c r="B84" s="14"/>
      <c r="C84" s="14"/>
      <c r="D84" s="14"/>
      <c r="E84" s="14"/>
      <c r="F84" s="14"/>
      <c r="G84" s="14">
        <v>2.48</v>
      </c>
      <c r="H84" s="14">
        <v>10.29</v>
      </c>
      <c r="I84" s="14">
        <v>1.27</v>
      </c>
      <c r="J84" s="14"/>
      <c r="K84" s="14"/>
      <c r="L84" s="14">
        <v>2.76</v>
      </c>
      <c r="M84" s="14">
        <v>0.59</v>
      </c>
      <c r="N84" s="14">
        <v>3.5</v>
      </c>
      <c r="O84" s="14"/>
      <c r="P84" s="14">
        <v>1.03</v>
      </c>
      <c r="Q84" s="14"/>
      <c r="R84" s="14">
        <v>2.2199999999999998</v>
      </c>
      <c r="S84" s="14">
        <v>4.7699999999999996</v>
      </c>
      <c r="T84" s="14">
        <v>25.060000000000002</v>
      </c>
      <c r="U84" s="14">
        <v>23.649999999999995</v>
      </c>
      <c r="V84" s="14">
        <v>4.0999999999999996</v>
      </c>
      <c r="W84" s="14">
        <v>3.34</v>
      </c>
      <c r="X84" s="14"/>
      <c r="Y84" s="14">
        <v>85.059999999999988</v>
      </c>
      <c r="Z84" s="26">
        <f t="shared" si="26"/>
        <v>7.2519741295670121E-3</v>
      </c>
      <c r="AB84" s="14">
        <f t="shared" si="28"/>
        <v>53.97</v>
      </c>
      <c r="AC84" s="14">
        <f t="shared" si="29"/>
        <v>31.089999999999993</v>
      </c>
      <c r="AD84" s="14">
        <f t="shared" si="30"/>
        <v>0</v>
      </c>
      <c r="AE84" s="14">
        <f t="shared" si="31"/>
        <v>85.059999999999988</v>
      </c>
      <c r="AF84" s="190">
        <f t="shared" si="27"/>
        <v>0.36550670115212786</v>
      </c>
    </row>
    <row r="85" spans="1:47" x14ac:dyDescent="0.25">
      <c r="A85" s="60" t="s">
        <v>50</v>
      </c>
      <c r="B85" s="61">
        <f>SUM(B86:B88)</f>
        <v>2.2799999999999998</v>
      </c>
      <c r="C85" s="61">
        <f t="shared" ref="C85:X85" si="33">SUM(C86:C88)</f>
        <v>0</v>
      </c>
      <c r="D85" s="61">
        <f t="shared" si="33"/>
        <v>0</v>
      </c>
      <c r="E85" s="61">
        <f t="shared" si="33"/>
        <v>0</v>
      </c>
      <c r="F85" s="61">
        <f t="shared" si="33"/>
        <v>0</v>
      </c>
      <c r="G85" s="61">
        <f t="shared" si="33"/>
        <v>0</v>
      </c>
      <c r="H85" s="61">
        <f t="shared" si="33"/>
        <v>0</v>
      </c>
      <c r="I85" s="61">
        <f t="shared" si="33"/>
        <v>0</v>
      </c>
      <c r="J85" s="61">
        <f t="shared" si="33"/>
        <v>0</v>
      </c>
      <c r="K85" s="61">
        <f t="shared" si="33"/>
        <v>0</v>
      </c>
      <c r="L85" s="61">
        <f t="shared" si="33"/>
        <v>0</v>
      </c>
      <c r="M85" s="61">
        <f t="shared" si="33"/>
        <v>0</v>
      </c>
      <c r="N85" s="61">
        <f t="shared" si="33"/>
        <v>0</v>
      </c>
      <c r="O85" s="61">
        <f t="shared" si="33"/>
        <v>0</v>
      </c>
      <c r="P85" s="61">
        <f t="shared" si="33"/>
        <v>4.71</v>
      </c>
      <c r="Q85" s="61">
        <f t="shared" si="33"/>
        <v>4.96</v>
      </c>
      <c r="R85" s="61">
        <f t="shared" si="33"/>
        <v>3.16</v>
      </c>
      <c r="S85" s="61">
        <f t="shared" si="33"/>
        <v>25.729999999999997</v>
      </c>
      <c r="T85" s="61">
        <f t="shared" si="33"/>
        <v>75.42</v>
      </c>
      <c r="U85" s="61">
        <f t="shared" si="33"/>
        <v>149.29</v>
      </c>
      <c r="V85" s="61">
        <f t="shared" si="33"/>
        <v>72.28</v>
      </c>
      <c r="W85" s="61">
        <f t="shared" si="33"/>
        <v>50.92</v>
      </c>
      <c r="X85" s="61">
        <f t="shared" si="33"/>
        <v>7.42</v>
      </c>
      <c r="Y85" s="61">
        <v>396.16999999999996</v>
      </c>
      <c r="Z85" s="62">
        <f t="shared" si="26"/>
        <v>3.3776329542799945E-2</v>
      </c>
      <c r="AB85" s="61">
        <f t="shared" si="28"/>
        <v>116.25999999999999</v>
      </c>
      <c r="AC85" s="61">
        <f t="shared" si="29"/>
        <v>272.49</v>
      </c>
      <c r="AD85" s="61">
        <f t="shared" si="30"/>
        <v>7.42</v>
      </c>
      <c r="AE85" s="61">
        <f t="shared" si="31"/>
        <v>396.17</v>
      </c>
      <c r="AF85" s="62">
        <f t="shared" si="27"/>
        <v>0.68781078829795295</v>
      </c>
    </row>
    <row r="86" spans="1:47" x14ac:dyDescent="0.25">
      <c r="A86" s="13" t="s">
        <v>19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>
        <v>2.77</v>
      </c>
      <c r="R86" s="14">
        <v>2.02</v>
      </c>
      <c r="S86" s="14">
        <v>0.52</v>
      </c>
      <c r="T86" s="14">
        <v>7.17</v>
      </c>
      <c r="U86" s="14">
        <v>41.809999999999995</v>
      </c>
      <c r="V86" s="14">
        <v>26.92</v>
      </c>
      <c r="W86" s="14">
        <v>15.139999999999999</v>
      </c>
      <c r="X86" s="14">
        <v>4.6399999999999997</v>
      </c>
      <c r="Y86" s="14">
        <v>100.99</v>
      </c>
      <c r="Z86" s="26">
        <f t="shared" si="26"/>
        <v>8.6101207070887927E-3</v>
      </c>
      <c r="AB86" s="14">
        <f t="shared" si="28"/>
        <v>12.48</v>
      </c>
      <c r="AC86" s="14">
        <f t="shared" si="29"/>
        <v>83.86999999999999</v>
      </c>
      <c r="AD86" s="14">
        <f t="shared" si="30"/>
        <v>4.6399999999999997</v>
      </c>
      <c r="AE86" s="14">
        <f t="shared" si="31"/>
        <v>100.99</v>
      </c>
      <c r="AF86" s="26">
        <f t="shared" si="27"/>
        <v>0.83047826517476975</v>
      </c>
    </row>
    <row r="87" spans="1:47" x14ac:dyDescent="0.25">
      <c r="A87" s="13" t="s">
        <v>20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>
        <v>4.71</v>
      </c>
      <c r="Q87" s="14">
        <v>0.27</v>
      </c>
      <c r="R87" s="14"/>
      <c r="S87" s="14">
        <v>2.02</v>
      </c>
      <c r="T87" s="14">
        <v>3.06</v>
      </c>
      <c r="U87" s="14">
        <v>13.11</v>
      </c>
      <c r="V87" s="14">
        <v>5.6400000000000006</v>
      </c>
      <c r="W87" s="14">
        <v>7.03</v>
      </c>
      <c r="X87" s="14">
        <v>7.0000000000000007E-2</v>
      </c>
      <c r="Y87" s="14">
        <v>35.910000000000004</v>
      </c>
      <c r="Z87" s="26">
        <f t="shared" si="26"/>
        <v>3.0615846578033326E-3</v>
      </c>
      <c r="AB87" s="14">
        <f t="shared" si="28"/>
        <v>10.06</v>
      </c>
      <c r="AC87" s="14">
        <f t="shared" si="29"/>
        <v>25.78</v>
      </c>
      <c r="AD87" s="14">
        <f t="shared" si="30"/>
        <v>7.0000000000000007E-2</v>
      </c>
      <c r="AE87" s="14">
        <f t="shared" si="31"/>
        <v>35.910000000000004</v>
      </c>
      <c r="AF87" s="26">
        <f t="shared" si="27"/>
        <v>0.7179058758006126</v>
      </c>
    </row>
    <row r="88" spans="1:47" x14ac:dyDescent="0.25">
      <c r="A88" s="13" t="s">
        <v>21</v>
      </c>
      <c r="B88" s="14">
        <v>2.2799999999999998</v>
      </c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>
        <v>1.92</v>
      </c>
      <c r="R88" s="14">
        <v>1.1399999999999999</v>
      </c>
      <c r="S88" s="14">
        <v>23.189999999999998</v>
      </c>
      <c r="T88" s="14">
        <v>65.19</v>
      </c>
      <c r="U88" s="14">
        <v>94.37</v>
      </c>
      <c r="V88" s="14">
        <v>39.72</v>
      </c>
      <c r="W88" s="14">
        <v>28.75</v>
      </c>
      <c r="X88" s="14">
        <v>2.71</v>
      </c>
      <c r="Y88" s="14">
        <v>259.27</v>
      </c>
      <c r="Z88" s="26">
        <f t="shared" si="26"/>
        <v>2.2104624177907824E-2</v>
      </c>
      <c r="AB88" s="14">
        <f t="shared" si="28"/>
        <v>93.72</v>
      </c>
      <c r="AC88" s="14">
        <f t="shared" si="29"/>
        <v>162.84</v>
      </c>
      <c r="AD88" s="14">
        <f t="shared" si="30"/>
        <v>2.71</v>
      </c>
      <c r="AE88" s="14">
        <f t="shared" si="31"/>
        <v>259.27</v>
      </c>
      <c r="AF88" s="26">
        <f t="shared" si="27"/>
        <v>0.62807112276777111</v>
      </c>
    </row>
    <row r="89" spans="1:47" x14ac:dyDescent="0.25">
      <c r="A89" s="60" t="s">
        <v>60</v>
      </c>
      <c r="B89" s="61">
        <v>0.51</v>
      </c>
      <c r="C89" s="61">
        <v>0.05</v>
      </c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>
        <v>5.84</v>
      </c>
      <c r="R89" s="61">
        <v>0.73</v>
      </c>
      <c r="S89" s="61">
        <v>16.47</v>
      </c>
      <c r="T89" s="61">
        <v>5.7</v>
      </c>
      <c r="U89" s="61">
        <v>1.52</v>
      </c>
      <c r="V89" s="61">
        <v>0.57999999999999996</v>
      </c>
      <c r="W89" s="61">
        <v>1.56</v>
      </c>
      <c r="X89" s="61">
        <v>0.01</v>
      </c>
      <c r="Y89" s="61">
        <v>32.97</v>
      </c>
      <c r="Z89" s="62">
        <f t="shared" si="26"/>
        <v>2.8109286039480889E-3</v>
      </c>
      <c r="AB89" s="61">
        <f t="shared" si="28"/>
        <v>29.3</v>
      </c>
      <c r="AC89" s="61">
        <f t="shared" si="29"/>
        <v>3.66</v>
      </c>
      <c r="AD89" s="61">
        <f t="shared" si="30"/>
        <v>0.01</v>
      </c>
      <c r="AE89" s="61">
        <f t="shared" si="31"/>
        <v>32.97</v>
      </c>
      <c r="AF89" s="62">
        <f t="shared" si="27"/>
        <v>0.11101000909918109</v>
      </c>
    </row>
    <row r="90" spans="1:47" x14ac:dyDescent="0.25">
      <c r="A90" s="13" t="s">
        <v>22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>
        <v>5.84</v>
      </c>
      <c r="R90" s="14"/>
      <c r="S90" s="14">
        <v>1.1599999999999999</v>
      </c>
      <c r="T90" s="14">
        <v>5.03</v>
      </c>
      <c r="U90" s="14">
        <v>1.45</v>
      </c>
      <c r="V90" s="14"/>
      <c r="W90" s="14"/>
      <c r="X90" s="14"/>
      <c r="Y90" s="14">
        <v>13.48</v>
      </c>
      <c r="Z90" s="26">
        <f t="shared" si="26"/>
        <v>1.1492665326424095E-3</v>
      </c>
      <c r="AB90" s="14">
        <f t="shared" si="28"/>
        <v>12.030000000000001</v>
      </c>
      <c r="AC90" s="14">
        <f t="shared" si="29"/>
        <v>1.45</v>
      </c>
      <c r="AD90" s="14">
        <f t="shared" si="30"/>
        <v>0</v>
      </c>
      <c r="AE90" s="14">
        <f t="shared" si="31"/>
        <v>13.48</v>
      </c>
      <c r="AF90" s="26">
        <f t="shared" si="27"/>
        <v>0.10756676557863501</v>
      </c>
    </row>
    <row r="91" spans="1:47" x14ac:dyDescent="0.25">
      <c r="A91" s="13" t="s">
        <v>23</v>
      </c>
      <c r="B91" s="14"/>
      <c r="C91" s="14">
        <v>0.05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>
        <v>0.05</v>
      </c>
      <c r="Z91" s="26">
        <f t="shared" si="26"/>
        <v>4.262858058762646E-6</v>
      </c>
      <c r="AB91" s="14">
        <f t="shared" si="28"/>
        <v>0.05</v>
      </c>
      <c r="AC91" s="14">
        <f t="shared" si="29"/>
        <v>0</v>
      </c>
      <c r="AD91" s="14">
        <f t="shared" si="30"/>
        <v>0</v>
      </c>
      <c r="AE91" s="14">
        <f t="shared" si="31"/>
        <v>0.05</v>
      </c>
      <c r="AF91" s="26">
        <f t="shared" si="27"/>
        <v>0</v>
      </c>
    </row>
    <row r="92" spans="1:47" x14ac:dyDescent="0.25">
      <c r="A92" s="13" t="s">
        <v>24</v>
      </c>
      <c r="B92" s="14">
        <v>0.51</v>
      </c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>
        <v>0.73</v>
      </c>
      <c r="S92" s="14">
        <v>15.31</v>
      </c>
      <c r="T92" s="14">
        <v>0.67</v>
      </c>
      <c r="U92" s="14">
        <v>7.0000000000000007E-2</v>
      </c>
      <c r="V92" s="14">
        <v>0.57999999999999996</v>
      </c>
      <c r="W92" s="14">
        <v>1.56</v>
      </c>
      <c r="X92" s="14">
        <v>0.01</v>
      </c>
      <c r="Y92" s="14">
        <v>19.440000000000001</v>
      </c>
      <c r="Z92" s="26">
        <f t="shared" si="26"/>
        <v>1.6573992132469168E-3</v>
      </c>
      <c r="AB92" s="14">
        <f t="shared" si="28"/>
        <v>17.220000000000002</v>
      </c>
      <c r="AC92" s="14">
        <f t="shared" si="29"/>
        <v>2.21</v>
      </c>
      <c r="AD92" s="14">
        <f t="shared" si="30"/>
        <v>0.01</v>
      </c>
      <c r="AE92" s="14">
        <f t="shared" si="31"/>
        <v>19.440000000000005</v>
      </c>
      <c r="AF92" s="26">
        <f t="shared" si="27"/>
        <v>0.11368312757201643</v>
      </c>
    </row>
    <row r="93" spans="1:47" x14ac:dyDescent="0.25">
      <c r="A93" s="60" t="s">
        <v>51</v>
      </c>
      <c r="B93" s="61">
        <v>121.07</v>
      </c>
      <c r="C93" s="61">
        <v>4.7</v>
      </c>
      <c r="D93" s="61"/>
      <c r="E93" s="61"/>
      <c r="F93" s="61"/>
      <c r="G93" s="61"/>
      <c r="H93" s="61">
        <v>1.04</v>
      </c>
      <c r="I93" s="61"/>
      <c r="J93" s="61">
        <v>1.01</v>
      </c>
      <c r="K93" s="61">
        <v>0.39</v>
      </c>
      <c r="L93" s="61"/>
      <c r="M93" s="61"/>
      <c r="N93" s="61"/>
      <c r="O93" s="61">
        <v>1.77</v>
      </c>
      <c r="P93" s="61">
        <v>0.36</v>
      </c>
      <c r="Q93" s="61"/>
      <c r="R93" s="61">
        <v>18.510000000000002</v>
      </c>
      <c r="S93" s="61">
        <v>39.659999999999997</v>
      </c>
      <c r="T93" s="61">
        <v>24.910000000000004</v>
      </c>
      <c r="U93" s="61">
        <v>38.76</v>
      </c>
      <c r="V93" s="61">
        <v>29.76</v>
      </c>
      <c r="W93" s="61">
        <v>41.410000000000004</v>
      </c>
      <c r="X93" s="61"/>
      <c r="Y93" s="61">
        <v>323.35000000000002</v>
      </c>
      <c r="Z93" s="62">
        <f t="shared" si="26"/>
        <v>2.7567903066018033E-2</v>
      </c>
      <c r="AB93" s="61">
        <f t="shared" si="28"/>
        <v>213.42000000000002</v>
      </c>
      <c r="AC93" s="61">
        <f t="shared" si="29"/>
        <v>109.93</v>
      </c>
      <c r="AD93" s="61">
        <f t="shared" si="30"/>
        <v>0</v>
      </c>
      <c r="AE93" s="61">
        <f t="shared" si="31"/>
        <v>323.35000000000002</v>
      </c>
      <c r="AF93" s="62">
        <f t="shared" si="27"/>
        <v>0.33997216638317612</v>
      </c>
    </row>
    <row r="94" spans="1:47" x14ac:dyDescent="0.25">
      <c r="A94" s="13" t="s">
        <v>26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>
        <v>1.07</v>
      </c>
      <c r="U94" s="14"/>
      <c r="V94" s="14"/>
      <c r="W94" s="14"/>
      <c r="X94" s="14"/>
      <c r="Y94" s="14">
        <v>1.07</v>
      </c>
      <c r="Z94" s="26">
        <f t="shared" si="26"/>
        <v>9.122516245752063E-5</v>
      </c>
      <c r="AB94" s="14">
        <f t="shared" si="28"/>
        <v>1.07</v>
      </c>
      <c r="AC94" s="14">
        <f t="shared" si="29"/>
        <v>0</v>
      </c>
      <c r="AD94" s="14">
        <f t="shared" si="30"/>
        <v>0</v>
      </c>
      <c r="AE94" s="14">
        <f t="shared" si="31"/>
        <v>1.07</v>
      </c>
      <c r="AF94" s="26">
        <f t="shared" si="27"/>
        <v>0</v>
      </c>
    </row>
    <row r="95" spans="1:47" x14ac:dyDescent="0.25">
      <c r="A95" s="13" t="s">
        <v>27</v>
      </c>
      <c r="B95" s="14">
        <v>118.41</v>
      </c>
      <c r="C95" s="14">
        <v>4.7</v>
      </c>
      <c r="D95" s="14"/>
      <c r="E95" s="14"/>
      <c r="F95" s="14"/>
      <c r="G95" s="14"/>
      <c r="H95" s="14">
        <v>1.04</v>
      </c>
      <c r="I95" s="14"/>
      <c r="J95" s="14">
        <v>1.01</v>
      </c>
      <c r="K95" s="14">
        <v>0.39</v>
      </c>
      <c r="L95" s="14"/>
      <c r="M95" s="14"/>
      <c r="N95" s="14"/>
      <c r="O95" s="14">
        <v>1.77</v>
      </c>
      <c r="P95" s="14"/>
      <c r="Q95" s="14"/>
      <c r="R95" s="14">
        <v>18.510000000000002</v>
      </c>
      <c r="S95" s="14">
        <v>31.03</v>
      </c>
      <c r="T95" s="14">
        <v>19.130000000000003</v>
      </c>
      <c r="U95" s="14">
        <v>36.07</v>
      </c>
      <c r="V95" s="14">
        <v>24.35</v>
      </c>
      <c r="W95" s="14">
        <v>41.410000000000004</v>
      </c>
      <c r="X95" s="14"/>
      <c r="Y95" s="14">
        <v>297.82000000000005</v>
      </c>
      <c r="Z95" s="26">
        <f t="shared" si="26"/>
        <v>2.5391287741213828E-2</v>
      </c>
      <c r="AB95" s="14">
        <f t="shared" si="28"/>
        <v>195.99</v>
      </c>
      <c r="AC95" s="14">
        <f t="shared" si="29"/>
        <v>101.83000000000001</v>
      </c>
      <c r="AD95" s="14">
        <f t="shared" si="30"/>
        <v>0</v>
      </c>
      <c r="AE95" s="14">
        <f t="shared" si="31"/>
        <v>297.82000000000005</v>
      </c>
      <c r="AF95" s="26">
        <f t="shared" si="27"/>
        <v>0.34191793700893153</v>
      </c>
    </row>
    <row r="96" spans="1:47" x14ac:dyDescent="0.25">
      <c r="A96" s="13" t="s">
        <v>28</v>
      </c>
      <c r="B96" s="14">
        <v>2.6599999999999997</v>
      </c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>
        <v>0.36</v>
      </c>
      <c r="Q96" s="14"/>
      <c r="R96" s="14"/>
      <c r="S96" s="14">
        <v>8.629999999999999</v>
      </c>
      <c r="T96" s="14">
        <v>4.71</v>
      </c>
      <c r="U96" s="14">
        <v>2.69</v>
      </c>
      <c r="V96" s="14">
        <v>5.41</v>
      </c>
      <c r="W96" s="14"/>
      <c r="X96" s="14"/>
      <c r="Y96" s="14">
        <v>24.46</v>
      </c>
      <c r="Z96" s="26">
        <f t="shared" si="26"/>
        <v>2.0853901623466863E-3</v>
      </c>
      <c r="AB96" s="14">
        <f t="shared" si="28"/>
        <v>16.36</v>
      </c>
      <c r="AC96" s="14">
        <f t="shared" si="29"/>
        <v>8.1</v>
      </c>
      <c r="AD96" s="14">
        <f t="shared" si="30"/>
        <v>0</v>
      </c>
      <c r="AE96" s="14">
        <f t="shared" si="31"/>
        <v>24.46</v>
      </c>
      <c r="AF96" s="26">
        <f t="shared" si="27"/>
        <v>0.3311529026982829</v>
      </c>
    </row>
    <row r="97" spans="1:32" x14ac:dyDescent="0.25">
      <c r="A97" s="60" t="s">
        <v>52</v>
      </c>
      <c r="B97" s="61">
        <v>68.34</v>
      </c>
      <c r="C97" s="61">
        <v>171.75</v>
      </c>
      <c r="D97" s="61">
        <v>38.79</v>
      </c>
      <c r="E97" s="61">
        <v>3.34</v>
      </c>
      <c r="F97" s="61">
        <v>101.13999999999999</v>
      </c>
      <c r="G97" s="61">
        <v>76.61</v>
      </c>
      <c r="H97" s="61">
        <v>45.18</v>
      </c>
      <c r="I97" s="61">
        <v>47.2</v>
      </c>
      <c r="J97" s="61">
        <v>37.61</v>
      </c>
      <c r="K97" s="61">
        <v>41.18</v>
      </c>
      <c r="L97" s="61">
        <v>86.100000000000009</v>
      </c>
      <c r="M97" s="61">
        <v>121.25</v>
      </c>
      <c r="N97" s="61">
        <v>56.980000000000004</v>
      </c>
      <c r="O97" s="61">
        <v>140.20000000000002</v>
      </c>
      <c r="P97" s="61">
        <v>162.36000000000001</v>
      </c>
      <c r="Q97" s="61">
        <v>284.31</v>
      </c>
      <c r="R97" s="61">
        <v>581.54</v>
      </c>
      <c r="S97" s="61">
        <v>589.42000000000007</v>
      </c>
      <c r="T97" s="61">
        <v>1064.08</v>
      </c>
      <c r="U97" s="61">
        <v>1713.5400000000002</v>
      </c>
      <c r="V97" s="61">
        <v>1501.09</v>
      </c>
      <c r="W97" s="61">
        <v>1607.08</v>
      </c>
      <c r="X97" s="61">
        <v>13.350000000000001</v>
      </c>
      <c r="Y97" s="61">
        <v>8552.44</v>
      </c>
      <c r="Z97" s="62">
        <f t="shared" si="26"/>
        <v>0.72915675552168013</v>
      </c>
      <c r="AB97" s="61">
        <f t="shared" si="28"/>
        <v>3717.38</v>
      </c>
      <c r="AC97" s="61">
        <f t="shared" si="29"/>
        <v>4821.71</v>
      </c>
      <c r="AD97" s="61">
        <f t="shared" si="30"/>
        <v>13.350000000000001</v>
      </c>
      <c r="AE97" s="61">
        <f t="shared" si="31"/>
        <v>8552.44</v>
      </c>
      <c r="AF97" s="62">
        <f t="shared" si="27"/>
        <v>0.56378179794304317</v>
      </c>
    </row>
    <row r="98" spans="1:32" x14ac:dyDescent="0.25">
      <c r="A98" s="13" t="s">
        <v>29</v>
      </c>
      <c r="B98" s="14">
        <v>14.46</v>
      </c>
      <c r="C98" s="14">
        <v>46.45</v>
      </c>
      <c r="D98" s="14"/>
      <c r="E98" s="14"/>
      <c r="F98" s="14">
        <v>25.72</v>
      </c>
      <c r="G98" s="14">
        <v>14.86</v>
      </c>
      <c r="H98" s="14">
        <v>2.46</v>
      </c>
      <c r="I98" s="14">
        <v>1.41</v>
      </c>
      <c r="J98" s="14">
        <v>21.060000000000002</v>
      </c>
      <c r="K98" s="14">
        <v>0.42</v>
      </c>
      <c r="L98" s="14">
        <v>4.66</v>
      </c>
      <c r="M98" s="14">
        <v>7.74</v>
      </c>
      <c r="N98" s="14">
        <v>2.2799999999999998</v>
      </c>
      <c r="O98" s="14">
        <v>52.75</v>
      </c>
      <c r="P98" s="14">
        <v>51.92</v>
      </c>
      <c r="Q98" s="14">
        <v>79.419999999999987</v>
      </c>
      <c r="R98" s="14">
        <v>64.599999999999994</v>
      </c>
      <c r="S98" s="14">
        <v>102.23</v>
      </c>
      <c r="T98" s="14">
        <v>218.35999999999999</v>
      </c>
      <c r="U98" s="14">
        <v>374.57000000000005</v>
      </c>
      <c r="V98" s="14">
        <v>469.32000000000005</v>
      </c>
      <c r="W98" s="14">
        <v>432.34999999999997</v>
      </c>
      <c r="X98" s="14">
        <v>10.620000000000001</v>
      </c>
      <c r="Y98" s="14">
        <v>1997.6599999999999</v>
      </c>
      <c r="Z98" s="26">
        <f t="shared" si="26"/>
        <v>0.17031482059335573</v>
      </c>
      <c r="AB98" s="14">
        <f t="shared" si="28"/>
        <v>710.80000000000007</v>
      </c>
      <c r="AC98" s="14">
        <f t="shared" si="29"/>
        <v>1276.24</v>
      </c>
      <c r="AD98" s="14">
        <f t="shared" si="30"/>
        <v>10.620000000000001</v>
      </c>
      <c r="AE98" s="14">
        <f t="shared" si="31"/>
        <v>1997.6599999999999</v>
      </c>
      <c r="AF98" s="26">
        <f t="shared" si="27"/>
        <v>0.63886747494568652</v>
      </c>
    </row>
    <row r="99" spans="1:32" x14ac:dyDescent="0.25">
      <c r="A99" s="13" t="s">
        <v>30</v>
      </c>
      <c r="B99" s="14">
        <v>51.25</v>
      </c>
      <c r="C99" s="14">
        <v>72.61</v>
      </c>
      <c r="D99" s="14">
        <v>8.8699999999999992</v>
      </c>
      <c r="E99" s="14">
        <v>0.28000000000000003</v>
      </c>
      <c r="F99" s="14">
        <v>11.39</v>
      </c>
      <c r="G99" s="14">
        <v>48.739999999999995</v>
      </c>
      <c r="H99" s="14">
        <v>26.529999999999998</v>
      </c>
      <c r="I99" s="14">
        <v>24.27</v>
      </c>
      <c r="J99" s="14">
        <v>12.29</v>
      </c>
      <c r="K99" s="14">
        <v>11.77</v>
      </c>
      <c r="L99" s="14">
        <v>6.57</v>
      </c>
      <c r="M99" s="14">
        <v>26.71</v>
      </c>
      <c r="N99" s="14">
        <v>42.59</v>
      </c>
      <c r="O99" s="14">
        <v>56.43</v>
      </c>
      <c r="P99" s="14">
        <v>68.990000000000009</v>
      </c>
      <c r="Q99" s="14">
        <v>101.6</v>
      </c>
      <c r="R99" s="14">
        <v>253.42</v>
      </c>
      <c r="S99" s="14">
        <v>294.59999999999997</v>
      </c>
      <c r="T99" s="14">
        <v>463.21</v>
      </c>
      <c r="U99" s="14">
        <v>746.73</v>
      </c>
      <c r="V99" s="14">
        <v>504.32999999999993</v>
      </c>
      <c r="W99" s="14">
        <v>490.59</v>
      </c>
      <c r="X99" s="14">
        <v>2.3199999999999998</v>
      </c>
      <c r="Y99" s="14">
        <v>3326.09</v>
      </c>
      <c r="Z99" s="26">
        <f t="shared" si="26"/>
        <v>0.28357299121339702</v>
      </c>
      <c r="AB99" s="14">
        <f t="shared" si="28"/>
        <v>1582.12</v>
      </c>
      <c r="AC99" s="14">
        <f t="shared" si="29"/>
        <v>1741.6499999999999</v>
      </c>
      <c r="AD99" s="14">
        <f t="shared" si="30"/>
        <v>2.3199999999999998</v>
      </c>
      <c r="AE99" s="14">
        <f t="shared" si="31"/>
        <v>3326.0899999999997</v>
      </c>
      <c r="AF99" s="26">
        <f t="shared" si="27"/>
        <v>0.52363285419215955</v>
      </c>
    </row>
    <row r="100" spans="1:32" x14ac:dyDescent="0.25">
      <c r="A100" s="13" t="s">
        <v>31</v>
      </c>
      <c r="B100" s="14"/>
      <c r="C100" s="14"/>
      <c r="D100" s="14"/>
      <c r="E100" s="14"/>
      <c r="F100" s="14">
        <v>2.37</v>
      </c>
      <c r="G100" s="14"/>
      <c r="H100" s="14"/>
      <c r="I100" s="14">
        <v>8.66</v>
      </c>
      <c r="J100" s="14"/>
      <c r="K100" s="14"/>
      <c r="L100" s="14">
        <v>2.17</v>
      </c>
      <c r="M100" s="14"/>
      <c r="N100" s="14"/>
      <c r="O100" s="14">
        <v>2.04</v>
      </c>
      <c r="P100" s="14">
        <v>2.76</v>
      </c>
      <c r="Q100" s="14">
        <v>11.48</v>
      </c>
      <c r="R100" s="14">
        <v>32.58</v>
      </c>
      <c r="S100" s="14">
        <v>37.980000000000004</v>
      </c>
      <c r="T100" s="14">
        <v>86.850000000000009</v>
      </c>
      <c r="U100" s="14">
        <v>114.77</v>
      </c>
      <c r="V100" s="14">
        <v>178.36</v>
      </c>
      <c r="W100" s="14">
        <v>188.04</v>
      </c>
      <c r="X100" s="14">
        <v>0.05</v>
      </c>
      <c r="Y100" s="14">
        <v>668.11</v>
      </c>
      <c r="Z100" s="26">
        <f t="shared" si="26"/>
        <v>5.6961161952798232E-2</v>
      </c>
      <c r="AB100" s="14">
        <f t="shared" si="28"/>
        <v>186.89000000000001</v>
      </c>
      <c r="AC100" s="14">
        <f t="shared" si="29"/>
        <v>481.16999999999996</v>
      </c>
      <c r="AD100" s="14">
        <f t="shared" si="30"/>
        <v>0.05</v>
      </c>
      <c r="AE100" s="14">
        <f t="shared" si="31"/>
        <v>668.1099999999999</v>
      </c>
      <c r="AF100" s="26">
        <f t="shared" si="27"/>
        <v>0.72019577614464692</v>
      </c>
    </row>
    <row r="101" spans="1:32" x14ac:dyDescent="0.25">
      <c r="A101" s="13" t="s">
        <v>32</v>
      </c>
      <c r="B101" s="14"/>
      <c r="C101" s="14"/>
      <c r="D101" s="14"/>
      <c r="E101" s="14"/>
      <c r="F101" s="14"/>
      <c r="G101" s="14"/>
      <c r="H101" s="14"/>
      <c r="I101" s="14">
        <v>6.35</v>
      </c>
      <c r="J101" s="14"/>
      <c r="K101" s="14"/>
      <c r="L101" s="14"/>
      <c r="M101" s="14"/>
      <c r="N101" s="14"/>
      <c r="O101" s="14"/>
      <c r="P101" s="14"/>
      <c r="Q101" s="14">
        <v>0.83</v>
      </c>
      <c r="R101" s="14">
        <v>14.8</v>
      </c>
      <c r="S101" s="14"/>
      <c r="T101" s="14">
        <v>19.75</v>
      </c>
      <c r="U101" s="14">
        <v>84.65</v>
      </c>
      <c r="V101" s="14">
        <v>4.5</v>
      </c>
      <c r="W101" s="14"/>
      <c r="X101" s="14">
        <v>0.09</v>
      </c>
      <c r="Y101" s="14">
        <v>130.97</v>
      </c>
      <c r="Z101" s="26">
        <f t="shared" si="26"/>
        <v>1.1166130399122875E-2</v>
      </c>
      <c r="AB101" s="14">
        <f t="shared" si="28"/>
        <v>41.730000000000004</v>
      </c>
      <c r="AC101" s="14">
        <f t="shared" si="29"/>
        <v>89.15</v>
      </c>
      <c r="AD101" s="14">
        <f t="shared" si="30"/>
        <v>0.09</v>
      </c>
      <c r="AE101" s="14">
        <f t="shared" si="31"/>
        <v>130.97</v>
      </c>
      <c r="AF101" s="26">
        <f t="shared" si="27"/>
        <v>0.68069023440482557</v>
      </c>
    </row>
    <row r="102" spans="1:32" x14ac:dyDescent="0.25">
      <c r="A102" s="13" t="s">
        <v>33</v>
      </c>
      <c r="B102" s="14">
        <v>2.63</v>
      </c>
      <c r="C102" s="14">
        <v>52.69</v>
      </c>
      <c r="D102" s="14">
        <v>29.92</v>
      </c>
      <c r="E102" s="14">
        <v>3.06</v>
      </c>
      <c r="F102" s="14">
        <v>61.66</v>
      </c>
      <c r="G102" s="14">
        <v>13.01</v>
      </c>
      <c r="H102" s="14">
        <v>16.190000000000001</v>
      </c>
      <c r="I102" s="14">
        <v>6.51</v>
      </c>
      <c r="J102" s="14">
        <v>4.26</v>
      </c>
      <c r="K102" s="14">
        <v>28.990000000000002</v>
      </c>
      <c r="L102" s="14">
        <v>72.7</v>
      </c>
      <c r="M102" s="14">
        <v>86.8</v>
      </c>
      <c r="N102" s="14">
        <v>12.11</v>
      </c>
      <c r="O102" s="14">
        <v>28.979999999999997</v>
      </c>
      <c r="P102" s="14">
        <v>38.69</v>
      </c>
      <c r="Q102" s="14">
        <v>90.98</v>
      </c>
      <c r="R102" s="14">
        <v>216.14000000000001</v>
      </c>
      <c r="S102" s="14">
        <v>154.61000000000001</v>
      </c>
      <c r="T102" s="14">
        <v>275.90999999999997</v>
      </c>
      <c r="U102" s="14">
        <v>392.82</v>
      </c>
      <c r="V102" s="14">
        <v>344.58</v>
      </c>
      <c r="W102" s="14">
        <v>496.09999999999997</v>
      </c>
      <c r="X102" s="14">
        <v>0.27</v>
      </c>
      <c r="Y102" s="14">
        <v>2429.61</v>
      </c>
      <c r="Z102" s="26">
        <f t="shared" si="26"/>
        <v>0.20714165136300625</v>
      </c>
      <c r="AB102" s="14">
        <f t="shared" si="28"/>
        <v>1195.8400000000001</v>
      </c>
      <c r="AC102" s="14">
        <f t="shared" si="29"/>
        <v>1233.5</v>
      </c>
      <c r="AD102" s="14">
        <f t="shared" si="30"/>
        <v>0.27</v>
      </c>
      <c r="AE102" s="14">
        <f t="shared" si="31"/>
        <v>2429.61</v>
      </c>
      <c r="AF102" s="26">
        <f t="shared" si="27"/>
        <v>0.50769465058178054</v>
      </c>
    </row>
    <row r="103" spans="1:32" x14ac:dyDescent="0.25">
      <c r="A103" s="60" t="s">
        <v>53</v>
      </c>
      <c r="B103" s="61"/>
      <c r="C103" s="61">
        <v>4.5200000000000005</v>
      </c>
      <c r="D103" s="61"/>
      <c r="E103" s="61"/>
      <c r="F103" s="61">
        <v>4.18</v>
      </c>
      <c r="G103" s="61"/>
      <c r="H103" s="61"/>
      <c r="I103" s="61"/>
      <c r="J103" s="61"/>
      <c r="K103" s="61">
        <v>13.19</v>
      </c>
      <c r="L103" s="61">
        <v>0.74</v>
      </c>
      <c r="M103" s="61">
        <v>14.95</v>
      </c>
      <c r="N103" s="61">
        <v>3.35</v>
      </c>
      <c r="O103" s="61">
        <v>10.8</v>
      </c>
      <c r="P103" s="61">
        <v>11.01</v>
      </c>
      <c r="Q103" s="61">
        <v>18.220000000000002</v>
      </c>
      <c r="R103" s="61">
        <v>51.02</v>
      </c>
      <c r="S103" s="61">
        <v>48.75</v>
      </c>
      <c r="T103" s="61">
        <v>52.8</v>
      </c>
      <c r="U103" s="61">
        <v>138.07999999999998</v>
      </c>
      <c r="V103" s="61">
        <v>68.36</v>
      </c>
      <c r="W103" s="61">
        <v>46.9</v>
      </c>
      <c r="X103" s="61"/>
      <c r="Y103" s="61">
        <v>486.87000000000006</v>
      </c>
      <c r="Z103" s="62">
        <f t="shared" si="26"/>
        <v>4.1509154061395395E-2</v>
      </c>
      <c r="AB103" s="61">
        <f t="shared" si="28"/>
        <v>233.53000000000003</v>
      </c>
      <c r="AC103" s="61">
        <f t="shared" si="29"/>
        <v>253.34</v>
      </c>
      <c r="AD103" s="61">
        <f t="shared" si="30"/>
        <v>0</v>
      </c>
      <c r="AE103" s="61">
        <f t="shared" si="31"/>
        <v>486.87</v>
      </c>
      <c r="AF103" s="62">
        <f t="shared" si="27"/>
        <v>0.52034423973545296</v>
      </c>
    </row>
    <row r="104" spans="1:32" x14ac:dyDescent="0.25">
      <c r="A104" s="13" t="s">
        <v>34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>
        <v>0.49</v>
      </c>
      <c r="R104" s="14"/>
      <c r="S104" s="14">
        <v>6.73</v>
      </c>
      <c r="T104" s="14">
        <v>1.79</v>
      </c>
      <c r="U104" s="14"/>
      <c r="V104" s="14">
        <v>2.17</v>
      </c>
      <c r="W104" s="14"/>
      <c r="X104" s="14"/>
      <c r="Y104" s="14">
        <v>11.180000000000001</v>
      </c>
      <c r="Z104" s="26">
        <f t="shared" si="26"/>
        <v>9.5317506193932781E-4</v>
      </c>
      <c r="AB104" s="14">
        <f t="shared" si="28"/>
        <v>9.0100000000000016</v>
      </c>
      <c r="AC104" s="14">
        <f t="shared" si="29"/>
        <v>2.17</v>
      </c>
      <c r="AD104" s="14">
        <f t="shared" si="30"/>
        <v>0</v>
      </c>
      <c r="AE104" s="14">
        <f t="shared" si="31"/>
        <v>11.180000000000001</v>
      </c>
      <c r="AF104" s="26">
        <f t="shared" si="27"/>
        <v>0.19409660107334523</v>
      </c>
    </row>
    <row r="105" spans="1:32" x14ac:dyDescent="0.25">
      <c r="A105" s="13" t="s">
        <v>35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>
        <v>0.37</v>
      </c>
      <c r="Q105" s="14">
        <v>1.06</v>
      </c>
      <c r="R105" s="14"/>
      <c r="S105" s="14"/>
      <c r="T105" s="14">
        <v>0.27</v>
      </c>
      <c r="U105" s="14">
        <v>2.2999999999999998</v>
      </c>
      <c r="V105" s="14">
        <v>0.15</v>
      </c>
      <c r="W105" s="14"/>
      <c r="X105" s="14"/>
      <c r="Y105" s="14">
        <v>4.1500000000000004</v>
      </c>
      <c r="Z105" s="26">
        <f t="shared" si="26"/>
        <v>3.5381721887729967E-4</v>
      </c>
      <c r="AB105" s="14">
        <f t="shared" si="28"/>
        <v>1.7000000000000002</v>
      </c>
      <c r="AC105" s="14">
        <f t="shared" si="29"/>
        <v>2.4499999999999997</v>
      </c>
      <c r="AD105" s="14">
        <f t="shared" si="30"/>
        <v>0</v>
      </c>
      <c r="AE105" s="14">
        <f t="shared" si="31"/>
        <v>4.1500000000000004</v>
      </c>
      <c r="AF105" s="26">
        <f t="shared" si="27"/>
        <v>0.59036144578313243</v>
      </c>
    </row>
    <row r="106" spans="1:32" x14ac:dyDescent="0.25">
      <c r="A106" s="13" t="s">
        <v>36</v>
      </c>
      <c r="B106" s="14"/>
      <c r="C106" s="14">
        <v>0.44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>
        <v>1.42</v>
      </c>
      <c r="Q106" s="14"/>
      <c r="R106" s="14"/>
      <c r="S106" s="14">
        <v>1.06</v>
      </c>
      <c r="T106" s="14">
        <v>6.33</v>
      </c>
      <c r="U106" s="14">
        <v>3.89</v>
      </c>
      <c r="V106" s="14">
        <v>0.86</v>
      </c>
      <c r="W106" s="14">
        <v>3.7</v>
      </c>
      <c r="X106" s="14"/>
      <c r="Y106" s="14">
        <v>17.7</v>
      </c>
      <c r="Z106" s="26">
        <f t="shared" si="26"/>
        <v>1.5090517528019765E-3</v>
      </c>
      <c r="AB106" s="14">
        <f t="shared" si="28"/>
        <v>9.25</v>
      </c>
      <c r="AC106" s="14">
        <f t="shared" si="29"/>
        <v>8.4499999999999993</v>
      </c>
      <c r="AD106" s="14">
        <f t="shared" si="30"/>
        <v>0</v>
      </c>
      <c r="AE106" s="14">
        <f t="shared" si="31"/>
        <v>17.7</v>
      </c>
      <c r="AF106" s="26">
        <f t="shared" si="27"/>
        <v>0.47740112994350281</v>
      </c>
    </row>
    <row r="107" spans="1:32" x14ac:dyDescent="0.25">
      <c r="A107" s="13" t="s">
        <v>37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>
        <v>0.08</v>
      </c>
      <c r="S107" s="14"/>
      <c r="T107" s="14"/>
      <c r="U107" s="14">
        <v>3.81</v>
      </c>
      <c r="V107" s="14">
        <v>1.64</v>
      </c>
      <c r="W107" s="14"/>
      <c r="X107" s="14"/>
      <c r="Y107" s="14">
        <v>5.53</v>
      </c>
      <c r="Z107" s="26">
        <f t="shared" si="26"/>
        <v>4.7147210129914866E-4</v>
      </c>
      <c r="AB107" s="14">
        <f t="shared" si="28"/>
        <v>0.08</v>
      </c>
      <c r="AC107" s="14">
        <f t="shared" si="29"/>
        <v>5.45</v>
      </c>
      <c r="AD107" s="14">
        <f t="shared" si="30"/>
        <v>0</v>
      </c>
      <c r="AE107" s="14">
        <f t="shared" si="31"/>
        <v>5.53</v>
      </c>
      <c r="AF107" s="26">
        <f t="shared" si="27"/>
        <v>0.98553345388788427</v>
      </c>
    </row>
    <row r="108" spans="1:32" x14ac:dyDescent="0.25">
      <c r="A108" s="13" t="s">
        <v>38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>
        <v>11.780000000000001</v>
      </c>
      <c r="T108" s="14">
        <v>0.8</v>
      </c>
      <c r="U108" s="14">
        <v>14.29</v>
      </c>
      <c r="V108" s="14">
        <v>15.61</v>
      </c>
      <c r="W108" s="14">
        <v>15.73</v>
      </c>
      <c r="X108" s="14"/>
      <c r="Y108" s="14">
        <v>58.210000000000008</v>
      </c>
      <c r="Z108" s="26">
        <f t="shared" si="26"/>
        <v>4.9628193520114732E-3</v>
      </c>
      <c r="AB108" s="14">
        <f t="shared" si="28"/>
        <v>12.580000000000002</v>
      </c>
      <c r="AC108" s="14">
        <f t="shared" si="29"/>
        <v>45.629999999999995</v>
      </c>
      <c r="AD108" s="14">
        <f t="shared" si="30"/>
        <v>0</v>
      </c>
      <c r="AE108" s="14">
        <f t="shared" si="31"/>
        <v>58.209999999999994</v>
      </c>
      <c r="AF108" s="26">
        <f t="shared" si="27"/>
        <v>0.78388593025253395</v>
      </c>
    </row>
    <row r="109" spans="1:32" x14ac:dyDescent="0.25">
      <c r="A109" s="13" t="s">
        <v>39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>
        <v>4.4800000000000004</v>
      </c>
      <c r="U109" s="14">
        <v>1.7</v>
      </c>
      <c r="V109" s="14">
        <v>6.29</v>
      </c>
      <c r="W109" s="14">
        <v>3.5700000000000003</v>
      </c>
      <c r="X109" s="14"/>
      <c r="Y109" s="14">
        <v>16.04</v>
      </c>
      <c r="Z109" s="26">
        <f t="shared" si="26"/>
        <v>1.3675248652510567E-3</v>
      </c>
      <c r="AB109" s="14">
        <f t="shared" si="28"/>
        <v>4.4800000000000004</v>
      </c>
      <c r="AC109" s="14">
        <f t="shared" si="29"/>
        <v>11.56</v>
      </c>
      <c r="AD109" s="14">
        <f t="shared" si="30"/>
        <v>0</v>
      </c>
      <c r="AE109" s="14">
        <f t="shared" si="31"/>
        <v>16.04</v>
      </c>
      <c r="AF109" s="26">
        <f t="shared" si="27"/>
        <v>0.72069825436408985</v>
      </c>
    </row>
    <row r="110" spans="1:32" x14ac:dyDescent="0.25">
      <c r="A110" s="13" t="s">
        <v>40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>
        <v>0.99</v>
      </c>
      <c r="V110" s="14"/>
      <c r="W110" s="14">
        <v>1.87</v>
      </c>
      <c r="X110" s="14"/>
      <c r="Y110" s="14">
        <v>2.8600000000000003</v>
      </c>
      <c r="Z110" s="26">
        <f t="shared" si="26"/>
        <v>2.4383548096122338E-4</v>
      </c>
      <c r="AB110" s="14">
        <f t="shared" si="28"/>
        <v>0</v>
      </c>
      <c r="AC110" s="14">
        <f t="shared" si="29"/>
        <v>2.8600000000000003</v>
      </c>
      <c r="AD110" s="14">
        <f t="shared" si="30"/>
        <v>0</v>
      </c>
      <c r="AE110" s="14">
        <f t="shared" si="31"/>
        <v>2.8600000000000003</v>
      </c>
      <c r="AF110" s="26">
        <f t="shared" si="27"/>
        <v>1</v>
      </c>
    </row>
    <row r="111" spans="1:32" x14ac:dyDescent="0.25">
      <c r="A111" s="13" t="s">
        <v>41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>
        <v>13.19</v>
      </c>
      <c r="L111" s="14">
        <v>0.74</v>
      </c>
      <c r="M111" s="14">
        <v>13.58</v>
      </c>
      <c r="N111" s="14">
        <v>0.17</v>
      </c>
      <c r="O111" s="14">
        <v>7.18</v>
      </c>
      <c r="P111" s="14">
        <v>6.8900000000000006</v>
      </c>
      <c r="Q111" s="14">
        <v>9.8800000000000008</v>
      </c>
      <c r="R111" s="14">
        <v>45.2</v>
      </c>
      <c r="S111" s="14">
        <v>22.32</v>
      </c>
      <c r="T111" s="14">
        <v>18.329999999999998</v>
      </c>
      <c r="U111" s="14">
        <v>51.370000000000005</v>
      </c>
      <c r="V111" s="14">
        <v>23.72</v>
      </c>
      <c r="W111" s="14">
        <v>3.04</v>
      </c>
      <c r="X111" s="14"/>
      <c r="Y111" s="14">
        <v>215.61</v>
      </c>
      <c r="Z111" s="26">
        <f t="shared" si="26"/>
        <v>1.8382296520996284E-2</v>
      </c>
      <c r="AB111" s="14">
        <f t="shared" si="28"/>
        <v>137.48000000000002</v>
      </c>
      <c r="AC111" s="14">
        <f t="shared" si="29"/>
        <v>78.13000000000001</v>
      </c>
      <c r="AD111" s="14">
        <f t="shared" si="30"/>
        <v>0</v>
      </c>
      <c r="AE111" s="14">
        <f t="shared" si="31"/>
        <v>215.61</v>
      </c>
      <c r="AF111" s="26">
        <f t="shared" si="27"/>
        <v>0.3623672371411345</v>
      </c>
    </row>
    <row r="112" spans="1:32" x14ac:dyDescent="0.25">
      <c r="A112" s="13" t="s">
        <v>42</v>
      </c>
      <c r="B112" s="14"/>
      <c r="C112" s="14">
        <v>4.08</v>
      </c>
      <c r="D112" s="14"/>
      <c r="E112" s="14"/>
      <c r="F112" s="14">
        <v>4.18</v>
      </c>
      <c r="G112" s="14"/>
      <c r="H112" s="14"/>
      <c r="I112" s="14"/>
      <c r="J112" s="14"/>
      <c r="K112" s="14"/>
      <c r="L112" s="14"/>
      <c r="M112" s="14">
        <v>1.37</v>
      </c>
      <c r="N112" s="14">
        <v>3.18</v>
      </c>
      <c r="O112" s="14">
        <v>3.62</v>
      </c>
      <c r="P112" s="14">
        <v>2.33</v>
      </c>
      <c r="Q112" s="14">
        <v>6.79</v>
      </c>
      <c r="R112" s="14">
        <v>5.74</v>
      </c>
      <c r="S112" s="14">
        <v>6.8599999999999994</v>
      </c>
      <c r="T112" s="14">
        <v>20.8</v>
      </c>
      <c r="U112" s="14">
        <v>59.730000000000004</v>
      </c>
      <c r="V112" s="14">
        <v>17.920000000000002</v>
      </c>
      <c r="W112" s="14">
        <v>18.989999999999998</v>
      </c>
      <c r="X112" s="14"/>
      <c r="Y112" s="14">
        <v>155.59000000000003</v>
      </c>
      <c r="Z112" s="26">
        <f t="shared" si="26"/>
        <v>1.3265161707257604E-2</v>
      </c>
      <c r="AB112" s="14">
        <f t="shared" si="28"/>
        <v>58.95</v>
      </c>
      <c r="AC112" s="14">
        <f t="shared" si="29"/>
        <v>96.64</v>
      </c>
      <c r="AD112" s="14">
        <f t="shared" si="30"/>
        <v>0</v>
      </c>
      <c r="AE112" s="14">
        <f t="shared" si="31"/>
        <v>155.59</v>
      </c>
      <c r="AF112" s="26">
        <f t="shared" si="27"/>
        <v>0.62111960922938492</v>
      </c>
    </row>
    <row r="113" spans="1:32" x14ac:dyDescent="0.25">
      <c r="A113" s="60" t="s">
        <v>54</v>
      </c>
      <c r="B113" s="61">
        <v>53.76</v>
      </c>
      <c r="C113" s="61">
        <v>3.16</v>
      </c>
      <c r="D113" s="61"/>
      <c r="E113" s="61"/>
      <c r="F113" s="61"/>
      <c r="G113" s="61"/>
      <c r="H113" s="61"/>
      <c r="I113" s="61"/>
      <c r="J113" s="61"/>
      <c r="K113" s="61"/>
      <c r="L113" s="61">
        <v>23.91</v>
      </c>
      <c r="M113" s="61">
        <v>1.28</v>
      </c>
      <c r="N113" s="61"/>
      <c r="O113" s="61"/>
      <c r="P113" s="61">
        <v>0.56999999999999995</v>
      </c>
      <c r="Q113" s="61">
        <v>5.96</v>
      </c>
      <c r="R113" s="61">
        <v>1.75</v>
      </c>
      <c r="S113" s="61">
        <v>26.950000000000003</v>
      </c>
      <c r="T113" s="61">
        <v>125.17000000000002</v>
      </c>
      <c r="U113" s="61">
        <v>50.75</v>
      </c>
      <c r="V113" s="61">
        <v>109.02999999999999</v>
      </c>
      <c r="W113" s="61">
        <v>22.05</v>
      </c>
      <c r="X113" s="61"/>
      <c r="Y113" s="61">
        <v>424.34000000000003</v>
      </c>
      <c r="Z113" s="62">
        <f t="shared" si="26"/>
        <v>3.6178023773106825E-2</v>
      </c>
      <c r="AB113" s="61">
        <f t="shared" si="28"/>
        <v>242.51</v>
      </c>
      <c r="AC113" s="61">
        <f t="shared" si="29"/>
        <v>181.82999999999998</v>
      </c>
      <c r="AD113" s="61">
        <f t="shared" si="30"/>
        <v>0</v>
      </c>
      <c r="AE113" s="61">
        <f t="shared" si="31"/>
        <v>424.34</v>
      </c>
      <c r="AF113" s="62">
        <f t="shared" si="27"/>
        <v>0.42850073054626009</v>
      </c>
    </row>
    <row r="114" spans="1:32" x14ac:dyDescent="0.25">
      <c r="A114" s="13" t="s">
        <v>43</v>
      </c>
      <c r="B114" s="14">
        <v>53.76</v>
      </c>
      <c r="C114" s="14">
        <v>3.16</v>
      </c>
      <c r="D114" s="14"/>
      <c r="E114" s="14"/>
      <c r="F114" s="14"/>
      <c r="G114" s="14"/>
      <c r="H114" s="14"/>
      <c r="I114" s="14"/>
      <c r="J114" s="14"/>
      <c r="K114" s="14"/>
      <c r="L114" s="14">
        <v>23.91</v>
      </c>
      <c r="M114" s="14"/>
      <c r="N114" s="14"/>
      <c r="O114" s="14"/>
      <c r="P114" s="14"/>
      <c r="Q114" s="14"/>
      <c r="R114" s="14">
        <v>0.89</v>
      </c>
      <c r="S114" s="14"/>
      <c r="T114" s="14">
        <v>1.87</v>
      </c>
      <c r="U114" s="14">
        <v>16.66</v>
      </c>
      <c r="V114" s="14">
        <v>22.779999999999998</v>
      </c>
      <c r="W114" s="14">
        <v>15.8</v>
      </c>
      <c r="X114" s="14"/>
      <c r="Y114" s="14">
        <v>138.83000000000001</v>
      </c>
      <c r="Z114" s="26">
        <f t="shared" si="26"/>
        <v>1.1836251685960364E-2</v>
      </c>
      <c r="AB114" s="14">
        <f t="shared" si="28"/>
        <v>83.59</v>
      </c>
      <c r="AC114" s="14">
        <f t="shared" si="29"/>
        <v>55.239999999999995</v>
      </c>
      <c r="AD114" s="14">
        <f t="shared" si="30"/>
        <v>0</v>
      </c>
      <c r="AE114" s="14">
        <f t="shared" si="31"/>
        <v>138.82999999999998</v>
      </c>
      <c r="AF114" s="26">
        <f t="shared" si="27"/>
        <v>0.39789670820427864</v>
      </c>
    </row>
    <row r="115" spans="1:32" x14ac:dyDescent="0.25">
      <c r="A115" s="13" t="s">
        <v>44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>
        <v>1.28</v>
      </c>
      <c r="N115" s="14"/>
      <c r="O115" s="14"/>
      <c r="P115" s="14">
        <v>0.56999999999999995</v>
      </c>
      <c r="Q115" s="14">
        <v>5.96</v>
      </c>
      <c r="R115" s="14">
        <v>0.86</v>
      </c>
      <c r="S115" s="14">
        <v>26.950000000000003</v>
      </c>
      <c r="T115" s="14">
        <v>123.30000000000001</v>
      </c>
      <c r="U115" s="14">
        <v>34.090000000000003</v>
      </c>
      <c r="V115" s="14">
        <v>86.249999999999986</v>
      </c>
      <c r="W115" s="14">
        <v>6.25</v>
      </c>
      <c r="X115" s="14"/>
      <c r="Y115" s="14">
        <v>285.51</v>
      </c>
      <c r="Z115" s="26">
        <f t="shared" si="26"/>
        <v>2.4341772087146461E-2</v>
      </c>
      <c r="AB115" s="14">
        <f t="shared" si="28"/>
        <v>158.92000000000002</v>
      </c>
      <c r="AC115" s="14">
        <f t="shared" si="29"/>
        <v>126.58999999999999</v>
      </c>
      <c r="AD115" s="14">
        <f t="shared" si="30"/>
        <v>0</v>
      </c>
      <c r="AE115" s="14">
        <f t="shared" si="31"/>
        <v>285.51</v>
      </c>
      <c r="AF115" s="26">
        <f t="shared" si="27"/>
        <v>0.44338201814297218</v>
      </c>
    </row>
    <row r="116" spans="1:32" x14ac:dyDescent="0.25">
      <c r="A116" s="60" t="s">
        <v>80</v>
      </c>
      <c r="B116" s="61">
        <v>1.78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>
        <v>21.96</v>
      </c>
      <c r="N116" s="61"/>
      <c r="O116" s="61"/>
      <c r="P116" s="61"/>
      <c r="Q116" s="61">
        <v>4.83</v>
      </c>
      <c r="R116" s="61">
        <v>3.82</v>
      </c>
      <c r="S116" s="61">
        <v>6.2900000000000009</v>
      </c>
      <c r="T116" s="61">
        <v>4.88</v>
      </c>
      <c r="U116" s="61">
        <v>24.240000000000002</v>
      </c>
      <c r="V116" s="61">
        <v>53.71</v>
      </c>
      <c r="W116" s="61">
        <v>0.47</v>
      </c>
      <c r="X116" s="61">
        <v>0.34</v>
      </c>
      <c r="Y116" s="61">
        <v>122.32000000000002</v>
      </c>
      <c r="Z116" s="62">
        <f>Y116/$Y$124</f>
        <v>1.0428655954956938E-2</v>
      </c>
      <c r="AB116" s="61">
        <f t="shared" si="28"/>
        <v>43.56</v>
      </c>
      <c r="AC116" s="61">
        <f t="shared" si="29"/>
        <v>78.42</v>
      </c>
      <c r="AD116" s="61">
        <f t="shared" si="30"/>
        <v>0.34</v>
      </c>
      <c r="AE116" s="61">
        <f t="shared" si="31"/>
        <v>122.32000000000001</v>
      </c>
      <c r="AF116" s="62">
        <f t="shared" si="27"/>
        <v>0.64110529758011769</v>
      </c>
    </row>
    <row r="117" spans="1:32" x14ac:dyDescent="0.25">
      <c r="A117" s="13" t="s">
        <v>81</v>
      </c>
      <c r="B117" s="14">
        <v>1.78</v>
      </c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>
        <v>21.96</v>
      </c>
      <c r="N117" s="14"/>
      <c r="O117" s="14"/>
      <c r="P117" s="14"/>
      <c r="Q117" s="14">
        <v>4.83</v>
      </c>
      <c r="R117" s="14">
        <v>3.82</v>
      </c>
      <c r="S117" s="14">
        <v>6.2900000000000009</v>
      </c>
      <c r="T117" s="14">
        <v>4.88</v>
      </c>
      <c r="U117" s="14">
        <v>24.240000000000002</v>
      </c>
      <c r="V117" s="14">
        <v>53.71</v>
      </c>
      <c r="W117" s="14">
        <v>0.47</v>
      </c>
      <c r="X117" s="14">
        <v>0.34</v>
      </c>
      <c r="Y117" s="14">
        <v>122.32000000000002</v>
      </c>
      <c r="Z117" s="26">
        <f>Y117/$Y$124</f>
        <v>1.0428655954956938E-2</v>
      </c>
      <c r="AB117" s="14">
        <f t="shared" si="28"/>
        <v>43.56</v>
      </c>
      <c r="AC117" s="14">
        <f t="shared" si="29"/>
        <v>78.42</v>
      </c>
      <c r="AD117" s="14">
        <v>6</v>
      </c>
      <c r="AE117" s="14">
        <f t="shared" si="31"/>
        <v>127.98</v>
      </c>
      <c r="AF117" s="26">
        <f t="shared" si="27"/>
        <v>0.61275199249882795</v>
      </c>
    </row>
    <row r="118" spans="1:32" x14ac:dyDescent="0.25">
      <c r="A118" s="60" t="s">
        <v>55</v>
      </c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>
        <v>2.39</v>
      </c>
      <c r="R118" s="61"/>
      <c r="S118" s="61"/>
      <c r="T118" s="61"/>
      <c r="U118" s="61">
        <v>8.11</v>
      </c>
      <c r="V118" s="61">
        <v>0.81</v>
      </c>
      <c r="W118" s="61">
        <v>6.38</v>
      </c>
      <c r="X118" s="61"/>
      <c r="Y118" s="61">
        <v>17.690000000000001</v>
      </c>
      <c r="Z118" s="62">
        <f t="shared" ref="Z118:Z124" si="34">Y118/$Y$124</f>
        <v>1.5081991811902243E-3</v>
      </c>
      <c r="AB118" s="61">
        <f t="shared" si="28"/>
        <v>2.39</v>
      </c>
      <c r="AC118" s="61">
        <f t="shared" si="29"/>
        <v>15.3</v>
      </c>
      <c r="AD118" s="61">
        <f t="shared" ref="AD118:AD124" si="35">X118</f>
        <v>0</v>
      </c>
      <c r="AE118" s="61">
        <f t="shared" si="31"/>
        <v>17.690000000000001</v>
      </c>
      <c r="AF118" s="62">
        <f t="shared" si="27"/>
        <v>0.864895421141888</v>
      </c>
    </row>
    <row r="119" spans="1:32" x14ac:dyDescent="0.25">
      <c r="A119" s="13" t="s">
        <v>45</v>
      </c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>
        <v>2.39</v>
      </c>
      <c r="R119" s="14"/>
      <c r="S119" s="14"/>
      <c r="T119" s="14"/>
      <c r="U119" s="14">
        <v>8.11</v>
      </c>
      <c r="V119" s="14">
        <v>0.81</v>
      </c>
      <c r="W119" s="14">
        <v>6.38</v>
      </c>
      <c r="X119" s="14"/>
      <c r="Y119" s="14">
        <v>17.690000000000001</v>
      </c>
      <c r="Z119" s="26">
        <f t="shared" si="34"/>
        <v>1.5081991811902243E-3</v>
      </c>
      <c r="AB119" s="14">
        <f t="shared" si="28"/>
        <v>2.39</v>
      </c>
      <c r="AC119" s="14">
        <f>SUM(U119:W119)</f>
        <v>15.3</v>
      </c>
      <c r="AD119" s="14">
        <f t="shared" si="35"/>
        <v>0</v>
      </c>
      <c r="AE119" s="14">
        <f t="shared" si="31"/>
        <v>17.690000000000001</v>
      </c>
      <c r="AF119" s="26">
        <f t="shared" si="27"/>
        <v>0.864895421141888</v>
      </c>
    </row>
    <row r="120" spans="1:32" x14ac:dyDescent="0.25">
      <c r="A120" s="60" t="s">
        <v>56</v>
      </c>
      <c r="B120" s="61"/>
      <c r="C120" s="61"/>
      <c r="D120" s="61"/>
      <c r="E120" s="61"/>
      <c r="F120" s="61"/>
      <c r="G120" s="61">
        <v>0.87</v>
      </c>
      <c r="H120" s="61"/>
      <c r="I120" s="61"/>
      <c r="J120" s="61"/>
      <c r="K120" s="61"/>
      <c r="L120" s="61"/>
      <c r="M120" s="61">
        <v>0.52</v>
      </c>
      <c r="N120" s="61">
        <v>20.82</v>
      </c>
      <c r="O120" s="61">
        <v>0.19</v>
      </c>
      <c r="P120" s="61">
        <v>34.909999999999997</v>
      </c>
      <c r="Q120" s="61">
        <v>11.51</v>
      </c>
      <c r="R120" s="61">
        <v>137.24</v>
      </c>
      <c r="S120" s="61">
        <v>43.179999999999993</v>
      </c>
      <c r="T120" s="61">
        <v>4.55</v>
      </c>
      <c r="U120" s="61">
        <v>21.619999999999997</v>
      </c>
      <c r="V120" s="61">
        <v>8.1199999999999992</v>
      </c>
      <c r="W120" s="61">
        <v>20.639999999999997</v>
      </c>
      <c r="X120" s="61">
        <v>0.08</v>
      </c>
      <c r="Y120" s="61">
        <v>304.25</v>
      </c>
      <c r="Z120" s="62">
        <f t="shared" si="34"/>
        <v>2.5939491287570702E-2</v>
      </c>
      <c r="AB120" s="61">
        <f t="shared" si="28"/>
        <v>253.79000000000002</v>
      </c>
      <c r="AC120" s="61">
        <f t="shared" si="29"/>
        <v>50.379999999999995</v>
      </c>
      <c r="AD120" s="61">
        <f t="shared" si="35"/>
        <v>0.08</v>
      </c>
      <c r="AE120" s="61">
        <f t="shared" si="31"/>
        <v>304.25</v>
      </c>
      <c r="AF120" s="62">
        <f t="shared" si="27"/>
        <v>0.16558751027115856</v>
      </c>
    </row>
    <row r="121" spans="1:32" x14ac:dyDescent="0.25">
      <c r="A121" s="13" t="s">
        <v>46</v>
      </c>
      <c r="B121" s="14"/>
      <c r="C121" s="14"/>
      <c r="D121" s="14"/>
      <c r="E121" s="14"/>
      <c r="F121" s="14"/>
      <c r="G121" s="14">
        <v>0.87</v>
      </c>
      <c r="H121" s="14"/>
      <c r="I121" s="14"/>
      <c r="J121" s="14"/>
      <c r="K121" s="14"/>
      <c r="L121" s="14"/>
      <c r="M121" s="14">
        <v>0.52</v>
      </c>
      <c r="N121" s="14">
        <v>20.82</v>
      </c>
      <c r="O121" s="14">
        <v>0.19</v>
      </c>
      <c r="P121" s="14">
        <v>34.909999999999997</v>
      </c>
      <c r="Q121" s="14">
        <v>11.51</v>
      </c>
      <c r="R121" s="14">
        <v>137.24</v>
      </c>
      <c r="S121" s="14">
        <v>43.179999999999993</v>
      </c>
      <c r="T121" s="14">
        <v>4.55</v>
      </c>
      <c r="U121" s="14">
        <v>21.619999999999997</v>
      </c>
      <c r="V121" s="14">
        <v>8.1199999999999992</v>
      </c>
      <c r="W121" s="14">
        <v>20.639999999999997</v>
      </c>
      <c r="X121" s="14">
        <v>0.08</v>
      </c>
      <c r="Y121" s="14">
        <v>304.25</v>
      </c>
      <c r="Z121" s="26">
        <f t="shared" si="34"/>
        <v>2.5939491287570702E-2</v>
      </c>
      <c r="AB121" s="14">
        <f t="shared" si="28"/>
        <v>253.79000000000002</v>
      </c>
      <c r="AC121" s="14">
        <f t="shared" si="29"/>
        <v>50.379999999999995</v>
      </c>
      <c r="AD121" s="14">
        <f t="shared" si="35"/>
        <v>0.08</v>
      </c>
      <c r="AE121" s="14">
        <f t="shared" si="31"/>
        <v>304.25</v>
      </c>
      <c r="AF121" s="26">
        <f t="shared" si="27"/>
        <v>0.16558751027115856</v>
      </c>
    </row>
    <row r="122" spans="1:32" x14ac:dyDescent="0.25">
      <c r="A122" s="60" t="s">
        <v>57</v>
      </c>
      <c r="B122" s="61"/>
      <c r="C122" s="61"/>
      <c r="D122" s="61"/>
      <c r="E122" s="61"/>
      <c r="F122" s="61"/>
      <c r="G122" s="61"/>
      <c r="H122" s="61"/>
      <c r="I122" s="61"/>
      <c r="J122" s="61"/>
      <c r="K122" s="61">
        <v>6.53</v>
      </c>
      <c r="L122" s="61"/>
      <c r="M122" s="61">
        <v>2.62</v>
      </c>
      <c r="N122" s="61"/>
      <c r="O122" s="61">
        <v>1.92</v>
      </c>
      <c r="P122" s="61"/>
      <c r="Q122" s="61">
        <v>1.19</v>
      </c>
      <c r="R122" s="61"/>
      <c r="S122" s="61">
        <v>1.23</v>
      </c>
      <c r="T122" s="61">
        <v>7.4899999999999993</v>
      </c>
      <c r="U122" s="61">
        <v>1.69</v>
      </c>
      <c r="V122" s="61">
        <v>2.7800000000000002</v>
      </c>
      <c r="W122" s="61">
        <v>27.88</v>
      </c>
      <c r="X122" s="61">
        <v>0.09</v>
      </c>
      <c r="Y122" s="61">
        <v>53.42</v>
      </c>
      <c r="Z122" s="62">
        <f t="shared" si="34"/>
        <v>4.554437549982011E-3</v>
      </c>
      <c r="AB122" s="61">
        <f t="shared" si="28"/>
        <v>20.98</v>
      </c>
      <c r="AC122" s="61">
        <f t="shared" si="29"/>
        <v>32.35</v>
      </c>
      <c r="AD122" s="61">
        <f t="shared" si="35"/>
        <v>0.09</v>
      </c>
      <c r="AE122" s="61">
        <f t="shared" si="31"/>
        <v>53.42</v>
      </c>
      <c r="AF122" s="62">
        <f t="shared" si="27"/>
        <v>0.60557843504305509</v>
      </c>
    </row>
    <row r="123" spans="1:32" x14ac:dyDescent="0.25">
      <c r="A123" s="13" t="s">
        <v>47</v>
      </c>
      <c r="B123" s="14"/>
      <c r="C123" s="14"/>
      <c r="D123" s="14"/>
      <c r="E123" s="14"/>
      <c r="F123" s="14"/>
      <c r="G123" s="14"/>
      <c r="H123" s="14"/>
      <c r="I123" s="14"/>
      <c r="J123" s="14"/>
      <c r="K123" s="14">
        <v>6.53</v>
      </c>
      <c r="L123" s="14"/>
      <c r="M123" s="14">
        <v>2.62</v>
      </c>
      <c r="N123" s="14"/>
      <c r="O123" s="14">
        <v>1.92</v>
      </c>
      <c r="P123" s="14"/>
      <c r="Q123" s="14">
        <v>1.19</v>
      </c>
      <c r="R123" s="14"/>
      <c r="S123" s="14">
        <v>1.23</v>
      </c>
      <c r="T123" s="14">
        <v>7.4899999999999993</v>
      </c>
      <c r="U123" s="14">
        <v>1.69</v>
      </c>
      <c r="V123" s="14">
        <v>2.7800000000000002</v>
      </c>
      <c r="W123" s="14">
        <v>27.88</v>
      </c>
      <c r="X123" s="14">
        <v>0.09</v>
      </c>
      <c r="Y123" s="14">
        <v>53.42</v>
      </c>
      <c r="Z123" s="26">
        <f t="shared" si="34"/>
        <v>4.554437549982011E-3</v>
      </c>
      <c r="AB123" s="14">
        <f t="shared" si="28"/>
        <v>20.98</v>
      </c>
      <c r="AC123" s="14">
        <f t="shared" si="29"/>
        <v>32.35</v>
      </c>
      <c r="AD123" s="14">
        <f t="shared" si="35"/>
        <v>0.09</v>
      </c>
      <c r="AE123" s="14">
        <f t="shared" si="31"/>
        <v>53.42</v>
      </c>
      <c r="AF123" s="26">
        <f t="shared" si="27"/>
        <v>0.60557843504305509</v>
      </c>
    </row>
    <row r="124" spans="1:32" x14ac:dyDescent="0.25">
      <c r="A124" s="80" t="s">
        <v>59</v>
      </c>
      <c r="B124" s="64">
        <v>317.95999999999998</v>
      </c>
      <c r="C124" s="64">
        <v>184.42</v>
      </c>
      <c r="D124" s="64">
        <v>38.79</v>
      </c>
      <c r="E124" s="64">
        <v>7.5</v>
      </c>
      <c r="F124" s="64">
        <v>111.67999999999999</v>
      </c>
      <c r="G124" s="64">
        <v>80.180000000000007</v>
      </c>
      <c r="H124" s="64">
        <v>62.24</v>
      </c>
      <c r="I124" s="64">
        <v>49.36</v>
      </c>
      <c r="J124" s="64">
        <v>38.619999999999997</v>
      </c>
      <c r="K124" s="64">
        <v>63.330000000000005</v>
      </c>
      <c r="L124" s="64">
        <v>125.48</v>
      </c>
      <c r="M124" s="64">
        <v>165.08</v>
      </c>
      <c r="N124" s="64">
        <v>104.25</v>
      </c>
      <c r="O124" s="64">
        <v>174.32999999999998</v>
      </c>
      <c r="P124" s="64">
        <v>273.3</v>
      </c>
      <c r="Q124" s="64">
        <v>463.06999999999994</v>
      </c>
      <c r="R124" s="64">
        <v>878</v>
      </c>
      <c r="S124" s="64">
        <v>870.27</v>
      </c>
      <c r="T124" s="64">
        <v>1488.8999999999996</v>
      </c>
      <c r="U124" s="64">
        <v>2331.4500000000003</v>
      </c>
      <c r="V124" s="64">
        <v>1932.2199999999996</v>
      </c>
      <c r="W124" s="64">
        <v>1947.4</v>
      </c>
      <c r="X124" s="64">
        <v>21.389999999999997</v>
      </c>
      <c r="Y124" s="64">
        <v>11729.22</v>
      </c>
      <c r="Z124" s="65">
        <f t="shared" si="34"/>
        <v>1</v>
      </c>
      <c r="AB124" s="64">
        <f>SUM(B124:T124)</f>
        <v>5496.7599999999993</v>
      </c>
      <c r="AC124" s="64">
        <f>SUM(U124:W124)</f>
        <v>6211.07</v>
      </c>
      <c r="AD124" s="64">
        <f t="shared" si="35"/>
        <v>21.389999999999997</v>
      </c>
      <c r="AE124" s="64">
        <f>AB124+AC124+AD124</f>
        <v>11729.219999999998</v>
      </c>
      <c r="AF124" s="65">
        <f>AC124/AE124</f>
        <v>0.52953819606077823</v>
      </c>
    </row>
    <row r="125" spans="1:32" x14ac:dyDescent="0.25">
      <c r="A125" t="s">
        <v>289</v>
      </c>
      <c r="C125" s="162">
        <f>C124+B124</f>
        <v>502.38</v>
      </c>
      <c r="D125" s="162">
        <f>D124+C125</f>
        <v>541.16999999999996</v>
      </c>
      <c r="E125" s="162">
        <f t="shared" ref="E125:W125" si="36">E124+D125</f>
        <v>548.66999999999996</v>
      </c>
      <c r="F125" s="162">
        <f t="shared" si="36"/>
        <v>660.34999999999991</v>
      </c>
      <c r="G125" s="162">
        <f t="shared" si="36"/>
        <v>740.53</v>
      </c>
      <c r="H125" s="162">
        <f t="shared" si="36"/>
        <v>802.77</v>
      </c>
      <c r="I125" s="162">
        <f t="shared" si="36"/>
        <v>852.13</v>
      </c>
      <c r="J125" s="162">
        <f t="shared" si="36"/>
        <v>890.75</v>
      </c>
      <c r="K125" s="162">
        <f t="shared" si="36"/>
        <v>954.08</v>
      </c>
      <c r="L125" s="162">
        <f t="shared" si="36"/>
        <v>1079.56</v>
      </c>
      <c r="M125" s="162">
        <f t="shared" si="36"/>
        <v>1244.6399999999999</v>
      </c>
      <c r="N125" s="162">
        <f t="shared" si="36"/>
        <v>1348.8899999999999</v>
      </c>
      <c r="O125" s="162">
        <f t="shared" si="36"/>
        <v>1523.2199999999998</v>
      </c>
      <c r="P125" s="162">
        <f t="shared" si="36"/>
        <v>1796.5199999999998</v>
      </c>
      <c r="Q125" s="162">
        <f t="shared" si="36"/>
        <v>2259.5899999999997</v>
      </c>
      <c r="R125" s="162">
        <f t="shared" si="36"/>
        <v>3137.5899999999997</v>
      </c>
      <c r="S125" s="162">
        <f t="shared" si="36"/>
        <v>4007.8599999999997</v>
      </c>
      <c r="T125" s="162">
        <f t="shared" si="36"/>
        <v>5496.7599999999993</v>
      </c>
      <c r="U125" s="162">
        <f t="shared" si="36"/>
        <v>7828.2099999999991</v>
      </c>
      <c r="V125" s="162">
        <f t="shared" si="36"/>
        <v>9760.4299999999985</v>
      </c>
      <c r="W125" s="162">
        <f t="shared" si="36"/>
        <v>11707.829999999998</v>
      </c>
    </row>
    <row r="126" spans="1:32" x14ac:dyDescent="0.25">
      <c r="A126" t="s">
        <v>290</v>
      </c>
      <c r="D126" s="165">
        <f>D125/C125-1</f>
        <v>7.7212468649229704E-2</v>
      </c>
      <c r="E126" s="165">
        <f t="shared" ref="E126:W126" si="37">E125/D125-1</f>
        <v>1.3858861355950935E-2</v>
      </c>
      <c r="F126" s="165">
        <f t="shared" si="37"/>
        <v>0.20354675852516069</v>
      </c>
      <c r="G126" s="165">
        <f t="shared" si="37"/>
        <v>0.1214204588475809</v>
      </c>
      <c r="H126" s="165">
        <f t="shared" si="37"/>
        <v>8.4047911630859007E-2</v>
      </c>
      <c r="I126" s="165">
        <f t="shared" si="37"/>
        <v>6.1487100913088399E-2</v>
      </c>
      <c r="J126" s="165">
        <f t="shared" si="37"/>
        <v>4.5321723211247056E-2</v>
      </c>
      <c r="K126" s="165">
        <f t="shared" si="37"/>
        <v>7.1097389840022451E-2</v>
      </c>
      <c r="L126" s="165">
        <f t="shared" si="37"/>
        <v>0.13151936944491016</v>
      </c>
      <c r="M126" s="165">
        <f t="shared" si="37"/>
        <v>0.15291415020934451</v>
      </c>
      <c r="N126" s="165">
        <f t="shared" si="37"/>
        <v>8.3759159274971129E-2</v>
      </c>
      <c r="O126" s="165">
        <f t="shared" si="37"/>
        <v>0.12923959700197929</v>
      </c>
      <c r="P126" s="165">
        <f t="shared" si="37"/>
        <v>0.17942253909481232</v>
      </c>
      <c r="Q126" s="165">
        <f t="shared" si="37"/>
        <v>0.25775944604012202</v>
      </c>
      <c r="R126" s="165">
        <f t="shared" si="37"/>
        <v>0.38856606729539434</v>
      </c>
      <c r="S126" s="165">
        <f t="shared" si="37"/>
        <v>0.27736893603052026</v>
      </c>
      <c r="T126" s="165">
        <f t="shared" si="37"/>
        <v>0.37149501230082871</v>
      </c>
      <c r="U126" s="165">
        <f t="shared" si="37"/>
        <v>0.42414986282828426</v>
      </c>
      <c r="V126" s="165">
        <f t="shared" si="37"/>
        <v>0.24682781887557947</v>
      </c>
      <c r="W126" s="165">
        <f t="shared" si="37"/>
        <v>0.1995198982012063</v>
      </c>
    </row>
    <row r="128" spans="1:32" ht="15.75" x14ac:dyDescent="0.25">
      <c r="A128" s="81" t="s">
        <v>94</v>
      </c>
      <c r="B128" s="82" t="s">
        <v>88</v>
      </c>
      <c r="C128" s="82">
        <v>2000</v>
      </c>
      <c r="D128" s="82">
        <v>2001</v>
      </c>
      <c r="E128" s="82">
        <v>2002</v>
      </c>
      <c r="F128" s="82">
        <v>2003</v>
      </c>
      <c r="G128" s="82">
        <v>2004</v>
      </c>
      <c r="H128" s="82">
        <v>2005</v>
      </c>
      <c r="I128" s="82">
        <v>2006</v>
      </c>
      <c r="J128" s="82">
        <v>2007</v>
      </c>
      <c r="K128" s="82">
        <v>2008</v>
      </c>
      <c r="L128" s="82">
        <v>2009</v>
      </c>
      <c r="M128" s="82">
        <v>2010</v>
      </c>
      <c r="N128" s="82">
        <v>2011</v>
      </c>
      <c r="O128" s="82">
        <v>2012</v>
      </c>
      <c r="P128" s="82">
        <v>2013</v>
      </c>
      <c r="Q128" s="82">
        <v>2014</v>
      </c>
      <c r="R128" s="82">
        <v>2015</v>
      </c>
      <c r="S128" s="82">
        <v>2016</v>
      </c>
      <c r="T128" s="82">
        <v>2017</v>
      </c>
      <c r="U128" s="82">
        <v>2018</v>
      </c>
      <c r="V128" s="82">
        <v>2019</v>
      </c>
      <c r="W128" s="82">
        <v>2020</v>
      </c>
      <c r="X128" s="83" t="s">
        <v>89</v>
      </c>
    </row>
    <row r="129" spans="1:24" x14ac:dyDescent="0.25">
      <c r="A129" s="70" t="s">
        <v>49</v>
      </c>
      <c r="B129" s="26">
        <f t="shared" ref="B129:W129" si="38">B77/$Y$77</f>
        <v>6.9155012802836313E-2</v>
      </c>
      <c r="C129" s="26">
        <f t="shared" si="38"/>
        <v>2.3636005515067951E-4</v>
      </c>
      <c r="D129" s="26">
        <f t="shared" si="38"/>
        <v>0</v>
      </c>
      <c r="E129" s="26">
        <f t="shared" si="38"/>
        <v>4.0969076226117784E-3</v>
      </c>
      <c r="F129" s="26">
        <f t="shared" si="38"/>
        <v>6.2635414614930071E-3</v>
      </c>
      <c r="G129" s="26">
        <f t="shared" si="38"/>
        <v>2.6590506204451445E-3</v>
      </c>
      <c r="H129" s="26">
        <f t="shared" si="38"/>
        <v>1.5777033681307857E-2</v>
      </c>
      <c r="I129" s="26">
        <f t="shared" si="38"/>
        <v>2.1272404963561158E-3</v>
      </c>
      <c r="J129" s="26">
        <f t="shared" si="38"/>
        <v>0</v>
      </c>
      <c r="K129" s="26">
        <f t="shared" si="38"/>
        <v>2.0090604687807759E-3</v>
      </c>
      <c r="L129" s="26">
        <f t="shared" si="38"/>
        <v>1.4506598384872955E-2</v>
      </c>
      <c r="M129" s="26">
        <f t="shared" si="38"/>
        <v>2.4620839078195781E-3</v>
      </c>
      <c r="N129" s="26">
        <f t="shared" si="38"/>
        <v>2.2749655308252903E-2</v>
      </c>
      <c r="O129" s="26">
        <f t="shared" si="38"/>
        <v>1.9155012802836317E-2</v>
      </c>
      <c r="P129" s="26">
        <f t="shared" si="38"/>
        <v>5.8479416978530624E-2</v>
      </c>
      <c r="Q129" s="26">
        <f t="shared" si="38"/>
        <v>0.1219814851290132</v>
      </c>
      <c r="R129" s="26">
        <f t="shared" si="38"/>
        <v>7.90131967697459E-2</v>
      </c>
      <c r="S129" s="26">
        <f t="shared" si="38"/>
        <v>7.1489068347449281E-2</v>
      </c>
      <c r="T129" s="26">
        <f t="shared" si="38"/>
        <v>0.12202087847153831</v>
      </c>
      <c r="U129" s="26">
        <f t="shared" si="38"/>
        <v>0.18106165058105181</v>
      </c>
      <c r="V129" s="26">
        <f t="shared" si="38"/>
        <v>8.4400236360055142E-2</v>
      </c>
      <c r="W129" s="26">
        <f t="shared" si="38"/>
        <v>0.12025802639353948</v>
      </c>
      <c r="X129" s="52">
        <f>X77/Y77</f>
        <v>9.8483356312783137E-5</v>
      </c>
    </row>
    <row r="130" spans="1:24" x14ac:dyDescent="0.25">
      <c r="A130" s="70" t="s">
        <v>50</v>
      </c>
      <c r="B130" s="26">
        <f t="shared" ref="B130:W130" si="39">B85/$Y$85</f>
        <v>5.7551051316354091E-3</v>
      </c>
      <c r="C130" s="26">
        <f t="shared" si="39"/>
        <v>0</v>
      </c>
      <c r="D130" s="26">
        <f t="shared" si="39"/>
        <v>0</v>
      </c>
      <c r="E130" s="26">
        <f t="shared" si="39"/>
        <v>0</v>
      </c>
      <c r="F130" s="26">
        <f t="shared" si="39"/>
        <v>0</v>
      </c>
      <c r="G130" s="26">
        <f t="shared" si="39"/>
        <v>0</v>
      </c>
      <c r="H130" s="26">
        <f t="shared" si="39"/>
        <v>0</v>
      </c>
      <c r="I130" s="26">
        <f t="shared" si="39"/>
        <v>0</v>
      </c>
      <c r="J130" s="26">
        <f t="shared" si="39"/>
        <v>0</v>
      </c>
      <c r="K130" s="26">
        <f t="shared" si="39"/>
        <v>0</v>
      </c>
      <c r="L130" s="26">
        <f t="shared" si="39"/>
        <v>0</v>
      </c>
      <c r="M130" s="26">
        <f t="shared" si="39"/>
        <v>0</v>
      </c>
      <c r="N130" s="26">
        <f t="shared" si="39"/>
        <v>0</v>
      </c>
      <c r="O130" s="26">
        <f t="shared" si="39"/>
        <v>0</v>
      </c>
      <c r="P130" s="26">
        <f t="shared" si="39"/>
        <v>1.1888835600878412E-2</v>
      </c>
      <c r="Q130" s="26">
        <f t="shared" si="39"/>
        <v>1.25198778302244E-2</v>
      </c>
      <c r="R130" s="26">
        <f t="shared" si="39"/>
        <v>7.9763737789332878E-3</v>
      </c>
      <c r="S130" s="26">
        <f t="shared" si="39"/>
        <v>6.4946866244289067E-2</v>
      </c>
      <c r="T130" s="26">
        <f t="shared" si="39"/>
        <v>0.19037281974909764</v>
      </c>
      <c r="U130" s="26">
        <f t="shared" si="39"/>
        <v>0.37683317767625013</v>
      </c>
      <c r="V130" s="26">
        <f t="shared" si="39"/>
        <v>0.18244692934851203</v>
      </c>
      <c r="W130" s="26">
        <f t="shared" si="39"/>
        <v>0.12853068127319081</v>
      </c>
      <c r="X130" s="51">
        <f>X85/Y85</f>
        <v>1.8729333366988919E-2</v>
      </c>
    </row>
    <row r="131" spans="1:24" x14ac:dyDescent="0.25">
      <c r="A131" s="70" t="s">
        <v>60</v>
      </c>
      <c r="B131" s="26">
        <f t="shared" ref="B131:W131" si="40">B89/$Y$89</f>
        <v>1.5468607825295725E-2</v>
      </c>
      <c r="C131" s="26">
        <f t="shared" si="40"/>
        <v>1.5165301789505613E-3</v>
      </c>
      <c r="D131" s="26">
        <f t="shared" si="40"/>
        <v>0</v>
      </c>
      <c r="E131" s="26">
        <f t="shared" si="40"/>
        <v>0</v>
      </c>
      <c r="F131" s="26">
        <f t="shared" si="40"/>
        <v>0</v>
      </c>
      <c r="G131" s="26">
        <f t="shared" si="40"/>
        <v>0</v>
      </c>
      <c r="H131" s="26">
        <f t="shared" si="40"/>
        <v>0</v>
      </c>
      <c r="I131" s="26">
        <f t="shared" si="40"/>
        <v>0</v>
      </c>
      <c r="J131" s="26">
        <f t="shared" si="40"/>
        <v>0</v>
      </c>
      <c r="K131" s="26">
        <f t="shared" si="40"/>
        <v>0</v>
      </c>
      <c r="L131" s="26">
        <f t="shared" si="40"/>
        <v>0</v>
      </c>
      <c r="M131" s="26">
        <f t="shared" si="40"/>
        <v>0</v>
      </c>
      <c r="N131" s="26">
        <f t="shared" si="40"/>
        <v>0</v>
      </c>
      <c r="O131" s="26">
        <f t="shared" si="40"/>
        <v>0</v>
      </c>
      <c r="P131" s="26">
        <f t="shared" si="40"/>
        <v>0</v>
      </c>
      <c r="Q131" s="26">
        <f t="shared" si="40"/>
        <v>0.17713072490142553</v>
      </c>
      <c r="R131" s="26">
        <f t="shared" si="40"/>
        <v>2.2141340612678192E-2</v>
      </c>
      <c r="S131" s="26">
        <f t="shared" si="40"/>
        <v>0.4995450409463148</v>
      </c>
      <c r="T131" s="26">
        <f t="shared" si="40"/>
        <v>0.17288444040036399</v>
      </c>
      <c r="U131" s="26">
        <f t="shared" si="40"/>
        <v>4.6102517440097059E-2</v>
      </c>
      <c r="V131" s="26">
        <f t="shared" si="40"/>
        <v>1.7591750075826508E-2</v>
      </c>
      <c r="W131" s="26">
        <f t="shared" si="40"/>
        <v>4.7315741583257513E-2</v>
      </c>
      <c r="X131" s="52">
        <f>X89/Y89</f>
        <v>3.0330603579011223E-4</v>
      </c>
    </row>
    <row r="132" spans="1:24" x14ac:dyDescent="0.25">
      <c r="A132" s="70" t="s">
        <v>51</v>
      </c>
      <c r="B132" s="26">
        <f t="shared" ref="B132:W132" si="41">B93/$Y$93</f>
        <v>0.37442399876295029</v>
      </c>
      <c r="C132" s="26">
        <f t="shared" si="41"/>
        <v>1.4535333230245863E-2</v>
      </c>
      <c r="D132" s="26">
        <f t="shared" si="41"/>
        <v>0</v>
      </c>
      <c r="E132" s="26">
        <f t="shared" si="41"/>
        <v>0</v>
      </c>
      <c r="F132" s="26">
        <f t="shared" si="41"/>
        <v>0</v>
      </c>
      <c r="G132" s="26">
        <f t="shared" si="41"/>
        <v>0</v>
      </c>
      <c r="H132" s="26">
        <f t="shared" si="41"/>
        <v>3.2163290552033397E-3</v>
      </c>
      <c r="I132" s="26">
        <f t="shared" si="41"/>
        <v>0</v>
      </c>
      <c r="J132" s="26">
        <f t="shared" si="41"/>
        <v>3.1235503324570897E-3</v>
      </c>
      <c r="K132" s="26">
        <f t="shared" si="41"/>
        <v>1.2061233957012525E-3</v>
      </c>
      <c r="L132" s="26">
        <f t="shared" si="41"/>
        <v>0</v>
      </c>
      <c r="M132" s="26">
        <f t="shared" si="41"/>
        <v>0</v>
      </c>
      <c r="N132" s="26">
        <f t="shared" si="41"/>
        <v>0</v>
      </c>
      <c r="O132" s="26">
        <f t="shared" si="41"/>
        <v>5.4739446420287614E-3</v>
      </c>
      <c r="P132" s="26">
        <f t="shared" si="41"/>
        <v>1.1133446729550021E-3</v>
      </c>
      <c r="Q132" s="26">
        <f t="shared" si="41"/>
        <v>0</v>
      </c>
      <c r="R132" s="26">
        <f t="shared" si="41"/>
        <v>5.7244471934436367E-2</v>
      </c>
      <c r="S132" s="26">
        <f t="shared" si="41"/>
        <v>0.12265347147054273</v>
      </c>
      <c r="T132" s="26">
        <f t="shared" si="41"/>
        <v>7.703726612030308E-2</v>
      </c>
      <c r="U132" s="26">
        <f t="shared" si="41"/>
        <v>0.11987010978815524</v>
      </c>
      <c r="V132" s="26">
        <f t="shared" si="41"/>
        <v>9.2036492964280195E-2</v>
      </c>
      <c r="W132" s="26">
        <f t="shared" si="41"/>
        <v>0.12806556363074068</v>
      </c>
      <c r="X132" s="54">
        <f>X93/Y93</f>
        <v>0</v>
      </c>
    </row>
    <row r="133" spans="1:24" x14ac:dyDescent="0.25">
      <c r="A133" s="70" t="s">
        <v>52</v>
      </c>
      <c r="B133" s="26">
        <f t="shared" ref="B133:W133" si="42">B97/$Y$97</f>
        <v>7.9907020686494148E-3</v>
      </c>
      <c r="C133" s="26">
        <f t="shared" si="42"/>
        <v>2.0081988298076336E-2</v>
      </c>
      <c r="D133" s="26">
        <f t="shared" si="42"/>
        <v>4.535547750115756E-3</v>
      </c>
      <c r="E133" s="26">
        <f t="shared" si="42"/>
        <v>3.9053182483595323E-4</v>
      </c>
      <c r="F133" s="26">
        <f t="shared" si="42"/>
        <v>1.1825864899373744E-2</v>
      </c>
      <c r="G133" s="26">
        <f t="shared" si="42"/>
        <v>8.9576775750546036E-3</v>
      </c>
      <c r="H133" s="26">
        <f t="shared" si="42"/>
        <v>5.2827029479306483E-3</v>
      </c>
      <c r="I133" s="26">
        <f t="shared" si="42"/>
        <v>5.5188928539691593E-3</v>
      </c>
      <c r="J133" s="26">
        <f t="shared" si="42"/>
        <v>4.3975754287665274E-3</v>
      </c>
      <c r="K133" s="26">
        <f t="shared" si="42"/>
        <v>4.8150001636959741E-3</v>
      </c>
      <c r="L133" s="26">
        <f t="shared" si="42"/>
        <v>1.0067302430651371E-2</v>
      </c>
      <c r="M133" s="26">
        <f t="shared" si="42"/>
        <v>1.4177240647113572E-2</v>
      </c>
      <c r="N133" s="26">
        <f t="shared" si="42"/>
        <v>6.6624261614229392E-3</v>
      </c>
      <c r="O133" s="26">
        <f t="shared" si="42"/>
        <v>1.6392982587425345E-2</v>
      </c>
      <c r="P133" s="26">
        <f t="shared" si="42"/>
        <v>1.8984056012085439E-2</v>
      </c>
      <c r="Q133" s="26">
        <f t="shared" si="42"/>
        <v>3.3243144646440077E-2</v>
      </c>
      <c r="R133" s="26">
        <f t="shared" si="42"/>
        <v>6.799696928595815E-2</v>
      </c>
      <c r="S133" s="26">
        <f t="shared" si="42"/>
        <v>6.8918343770900475E-2</v>
      </c>
      <c r="T133" s="26">
        <f t="shared" si="42"/>
        <v>0.1244182946621081</v>
      </c>
      <c r="U133" s="26">
        <f t="shared" si="42"/>
        <v>0.20035685722437108</v>
      </c>
      <c r="V133" s="26">
        <f t="shared" si="42"/>
        <v>0.17551599309670687</v>
      </c>
      <c r="W133" s="26">
        <f t="shared" si="42"/>
        <v>0.18790894762196517</v>
      </c>
      <c r="X133" s="52">
        <f>X97/Y97</f>
        <v>1.5609580423832264E-3</v>
      </c>
    </row>
    <row r="134" spans="1:24" x14ac:dyDescent="0.25">
      <c r="A134" s="70" t="s">
        <v>53</v>
      </c>
      <c r="B134" s="26">
        <f t="shared" ref="B134:W134" si="43">B103/$Y$103</f>
        <v>0</v>
      </c>
      <c r="C134" s="26">
        <f t="shared" si="43"/>
        <v>9.283792388111816E-3</v>
      </c>
      <c r="D134" s="26">
        <f t="shared" si="43"/>
        <v>0</v>
      </c>
      <c r="E134" s="26">
        <f t="shared" si="43"/>
        <v>0</v>
      </c>
      <c r="F134" s="26">
        <f t="shared" si="43"/>
        <v>8.5854540226343763E-3</v>
      </c>
      <c r="G134" s="26">
        <f t="shared" si="43"/>
        <v>0</v>
      </c>
      <c r="H134" s="26">
        <f t="shared" si="43"/>
        <v>0</v>
      </c>
      <c r="I134" s="26">
        <f t="shared" si="43"/>
        <v>0</v>
      </c>
      <c r="J134" s="26">
        <f t="shared" si="43"/>
        <v>0</v>
      </c>
      <c r="K134" s="26">
        <f t="shared" si="43"/>
        <v>2.709142070778647E-2</v>
      </c>
      <c r="L134" s="26">
        <f t="shared" si="43"/>
        <v>1.5199129130979521E-3</v>
      </c>
      <c r="M134" s="26">
        <f t="shared" si="43"/>
        <v>3.0706348717316732E-2</v>
      </c>
      <c r="N134" s="26">
        <f t="shared" si="43"/>
        <v>6.88068683632181E-3</v>
      </c>
      <c r="O134" s="26">
        <f t="shared" si="43"/>
        <v>2.2182512785753897E-2</v>
      </c>
      <c r="P134" s="26">
        <f t="shared" si="43"/>
        <v>2.2613839423254664E-2</v>
      </c>
      <c r="Q134" s="26">
        <f t="shared" si="43"/>
        <v>3.7422720644114449E-2</v>
      </c>
      <c r="R134" s="26">
        <f t="shared" si="43"/>
        <v>0.10479183354899664</v>
      </c>
      <c r="S134" s="26">
        <f t="shared" si="43"/>
        <v>0.10012939799125022</v>
      </c>
      <c r="T134" s="26">
        <f t="shared" si="43"/>
        <v>0.10844784028590793</v>
      </c>
      <c r="U134" s="26">
        <f t="shared" si="43"/>
        <v>0.2836075338386016</v>
      </c>
      <c r="V134" s="26">
        <f t="shared" si="43"/>
        <v>0.14040709018834593</v>
      </c>
      <c r="W134" s="26">
        <f t="shared" si="43"/>
        <v>9.6329615708505331E-2</v>
      </c>
      <c r="X134" s="54">
        <f>X103/Y103</f>
        <v>0</v>
      </c>
    </row>
    <row r="135" spans="1:24" x14ac:dyDescent="0.25">
      <c r="A135" s="70" t="s">
        <v>54</v>
      </c>
      <c r="B135" s="26">
        <f t="shared" ref="B135:W135" si="44">B113/$Y$113</f>
        <v>0.12669086110194655</v>
      </c>
      <c r="C135" s="26">
        <f t="shared" si="44"/>
        <v>7.4468586510816797E-3</v>
      </c>
      <c r="D135" s="26">
        <f t="shared" si="44"/>
        <v>0</v>
      </c>
      <c r="E135" s="26">
        <f t="shared" si="44"/>
        <v>0</v>
      </c>
      <c r="F135" s="26">
        <f t="shared" si="44"/>
        <v>0</v>
      </c>
      <c r="G135" s="26">
        <f t="shared" si="44"/>
        <v>0</v>
      </c>
      <c r="H135" s="26">
        <f t="shared" si="44"/>
        <v>0</v>
      </c>
      <c r="I135" s="26">
        <f t="shared" si="44"/>
        <v>0</v>
      </c>
      <c r="J135" s="26">
        <f t="shared" si="44"/>
        <v>0</v>
      </c>
      <c r="K135" s="26">
        <f t="shared" si="44"/>
        <v>0</v>
      </c>
      <c r="L135" s="26">
        <f t="shared" si="44"/>
        <v>5.6346326059292073E-2</v>
      </c>
      <c r="M135" s="26">
        <f t="shared" si="44"/>
        <v>3.0164490738558702E-3</v>
      </c>
      <c r="N135" s="26">
        <f t="shared" si="44"/>
        <v>0</v>
      </c>
      <c r="O135" s="26">
        <f t="shared" si="44"/>
        <v>0</v>
      </c>
      <c r="P135" s="26">
        <f t="shared" si="44"/>
        <v>1.343262478201442E-3</v>
      </c>
      <c r="Q135" s="26">
        <f t="shared" si="44"/>
        <v>1.4045341000141395E-2</v>
      </c>
      <c r="R135" s="26">
        <f t="shared" si="44"/>
        <v>4.1240514681623224E-3</v>
      </c>
      <c r="S135" s="26">
        <f t="shared" si="44"/>
        <v>6.3510392609699776E-2</v>
      </c>
      <c r="T135" s="26">
        <f t="shared" si="44"/>
        <v>0.29497572701135882</v>
      </c>
      <c r="U135" s="26">
        <f t="shared" si="44"/>
        <v>0.11959749257670735</v>
      </c>
      <c r="V135" s="26">
        <f t="shared" si="44"/>
        <v>0.2569401894707074</v>
      </c>
      <c r="W135" s="26">
        <f t="shared" si="44"/>
        <v>5.1963048498845262E-2</v>
      </c>
      <c r="X135" s="54">
        <f>X113/Y113</f>
        <v>0</v>
      </c>
    </row>
    <row r="136" spans="1:24" x14ac:dyDescent="0.25">
      <c r="A136" s="70" t="s">
        <v>55</v>
      </c>
      <c r="B136" s="26">
        <f>B118/$Y$118</f>
        <v>0</v>
      </c>
      <c r="C136" s="26">
        <f t="shared" ref="C136:W136" si="45">C118/$Y$118</f>
        <v>0</v>
      </c>
      <c r="D136" s="26">
        <f t="shared" si="45"/>
        <v>0</v>
      </c>
      <c r="E136" s="26">
        <f t="shared" si="45"/>
        <v>0</v>
      </c>
      <c r="F136" s="26">
        <f t="shared" si="45"/>
        <v>0</v>
      </c>
      <c r="G136" s="26">
        <f t="shared" si="45"/>
        <v>0</v>
      </c>
      <c r="H136" s="26">
        <f t="shared" si="45"/>
        <v>0</v>
      </c>
      <c r="I136" s="26">
        <f t="shared" si="45"/>
        <v>0</v>
      </c>
      <c r="J136" s="26">
        <f t="shared" si="45"/>
        <v>0</v>
      </c>
      <c r="K136" s="26">
        <f t="shared" si="45"/>
        <v>0</v>
      </c>
      <c r="L136" s="26">
        <f t="shared" si="45"/>
        <v>0</v>
      </c>
      <c r="M136" s="26">
        <f t="shared" si="45"/>
        <v>0</v>
      </c>
      <c r="N136" s="26">
        <f t="shared" si="45"/>
        <v>0</v>
      </c>
      <c r="O136" s="26">
        <f t="shared" si="45"/>
        <v>0</v>
      </c>
      <c r="P136" s="26">
        <f t="shared" si="45"/>
        <v>0</v>
      </c>
      <c r="Q136" s="26">
        <f t="shared" si="45"/>
        <v>0.13510457885811192</v>
      </c>
      <c r="R136" s="26">
        <f t="shared" si="45"/>
        <v>0</v>
      </c>
      <c r="S136" s="26">
        <f t="shared" si="45"/>
        <v>0</v>
      </c>
      <c r="T136" s="26">
        <f t="shared" si="45"/>
        <v>0</v>
      </c>
      <c r="U136" s="26">
        <f t="shared" si="45"/>
        <v>0.45845110231769354</v>
      </c>
      <c r="V136" s="26">
        <f t="shared" si="45"/>
        <v>4.5788581119276424E-2</v>
      </c>
      <c r="W136" s="26">
        <f t="shared" si="45"/>
        <v>0.36065573770491799</v>
      </c>
      <c r="X136" s="54">
        <f>X118/Y118</f>
        <v>0</v>
      </c>
    </row>
    <row r="137" spans="1:24" x14ac:dyDescent="0.25">
      <c r="A137" s="70" t="s">
        <v>56</v>
      </c>
      <c r="B137" s="26">
        <f>B120/$Y$120</f>
        <v>0</v>
      </c>
      <c r="C137" s="26">
        <f t="shared" ref="C137:W137" si="46">C120/$Y$120</f>
        <v>0</v>
      </c>
      <c r="D137" s="26">
        <f t="shared" si="46"/>
        <v>0</v>
      </c>
      <c r="E137" s="26">
        <f t="shared" si="46"/>
        <v>0</v>
      </c>
      <c r="F137" s="26">
        <f t="shared" si="46"/>
        <v>0</v>
      </c>
      <c r="G137" s="26">
        <f t="shared" si="46"/>
        <v>2.8594905505341002E-3</v>
      </c>
      <c r="H137" s="26">
        <f t="shared" si="46"/>
        <v>0</v>
      </c>
      <c r="I137" s="26">
        <f t="shared" si="46"/>
        <v>0</v>
      </c>
      <c r="J137" s="26">
        <f t="shared" si="46"/>
        <v>0</v>
      </c>
      <c r="K137" s="26">
        <f t="shared" si="46"/>
        <v>0</v>
      </c>
      <c r="L137" s="26">
        <f t="shared" si="46"/>
        <v>0</v>
      </c>
      <c r="M137" s="26">
        <f t="shared" si="46"/>
        <v>1.7091207888249795E-3</v>
      </c>
      <c r="N137" s="26">
        <f t="shared" si="46"/>
        <v>6.8430566967953993E-2</v>
      </c>
      <c r="O137" s="26">
        <f t="shared" si="46"/>
        <v>6.2448644207066561E-4</v>
      </c>
      <c r="P137" s="26">
        <f t="shared" si="46"/>
        <v>0.11474116680361543</v>
      </c>
      <c r="Q137" s="26">
        <f t="shared" si="46"/>
        <v>3.7830731306491373E-2</v>
      </c>
      <c r="R137" s="26">
        <f t="shared" si="46"/>
        <v>0.45107641741988497</v>
      </c>
      <c r="S137" s="26">
        <f t="shared" si="46"/>
        <v>0.14192276088742808</v>
      </c>
      <c r="T137" s="26">
        <f t="shared" si="46"/>
        <v>1.495480690221857E-2</v>
      </c>
      <c r="U137" s="26">
        <f t="shared" si="46"/>
        <v>7.1059983566146248E-2</v>
      </c>
      <c r="V137" s="26">
        <f t="shared" si="46"/>
        <v>2.6688578471651601E-2</v>
      </c>
      <c r="W137" s="26">
        <f t="shared" si="46"/>
        <v>6.7838948233360716E-2</v>
      </c>
      <c r="X137" s="53">
        <f>X120/Y120</f>
        <v>2.6294165981922762E-4</v>
      </c>
    </row>
    <row r="138" spans="1:24" x14ac:dyDescent="0.25">
      <c r="A138" s="70" t="s">
        <v>57</v>
      </c>
      <c r="B138" s="26">
        <f>B122/$Y$122</f>
        <v>0</v>
      </c>
      <c r="C138" s="26">
        <f t="shared" ref="C138:W138" si="47">C122/$Y$122</f>
        <v>0</v>
      </c>
      <c r="D138" s="26">
        <f t="shared" si="47"/>
        <v>0</v>
      </c>
      <c r="E138" s="26">
        <f t="shared" si="47"/>
        <v>0</v>
      </c>
      <c r="F138" s="26">
        <f t="shared" si="47"/>
        <v>0</v>
      </c>
      <c r="G138" s="26">
        <f t="shared" si="47"/>
        <v>0</v>
      </c>
      <c r="H138" s="26">
        <f t="shared" si="47"/>
        <v>0</v>
      </c>
      <c r="I138" s="26">
        <f t="shared" si="47"/>
        <v>0</v>
      </c>
      <c r="J138" s="26">
        <f t="shared" si="47"/>
        <v>0</v>
      </c>
      <c r="K138" s="26">
        <f t="shared" si="47"/>
        <v>0.12223886184949458</v>
      </c>
      <c r="L138" s="26">
        <f t="shared" si="47"/>
        <v>0</v>
      </c>
      <c r="M138" s="26">
        <f t="shared" si="47"/>
        <v>4.9045301385248971E-2</v>
      </c>
      <c r="N138" s="26">
        <f t="shared" si="47"/>
        <v>0</v>
      </c>
      <c r="O138" s="26">
        <f t="shared" si="47"/>
        <v>3.5941594908274054E-2</v>
      </c>
      <c r="P138" s="26">
        <f t="shared" si="47"/>
        <v>0</v>
      </c>
      <c r="Q138" s="26">
        <f t="shared" si="47"/>
        <v>2.2276301010857355E-2</v>
      </c>
      <c r="R138" s="26">
        <f t="shared" si="47"/>
        <v>0</v>
      </c>
      <c r="S138" s="26">
        <f t="shared" si="47"/>
        <v>2.3025084238113065E-2</v>
      </c>
      <c r="T138" s="26">
        <f t="shared" si="47"/>
        <v>0.14020965930363158</v>
      </c>
      <c r="U138" s="26">
        <f t="shared" si="47"/>
        <v>3.1636091351553722E-2</v>
      </c>
      <c r="V138" s="26">
        <f t="shared" si="47"/>
        <v>5.2040434294271812E-2</v>
      </c>
      <c r="W138" s="26">
        <f t="shared" si="47"/>
        <v>0.52190190939722947</v>
      </c>
      <c r="X138" s="52">
        <f>X122/Y122</f>
        <v>1.6847622613253461E-3</v>
      </c>
    </row>
    <row r="139" spans="1:24" x14ac:dyDescent="0.25">
      <c r="A139" s="70" t="s">
        <v>59</v>
      </c>
      <c r="B139" s="26">
        <f>B124/$Y$124</f>
        <v>2.7108366967283418E-2</v>
      </c>
      <c r="C139" s="26">
        <f t="shared" ref="C139:W139" si="48">C124/$Y$124</f>
        <v>1.5723125663940143E-2</v>
      </c>
      <c r="D139" s="26">
        <f t="shared" si="48"/>
        <v>3.3071252819880607E-3</v>
      </c>
      <c r="E139" s="26">
        <f t="shared" si="48"/>
        <v>6.3942870881439687E-4</v>
      </c>
      <c r="F139" s="26">
        <f t="shared" si="48"/>
        <v>9.521519760052246E-3</v>
      </c>
      <c r="G139" s="26">
        <f t="shared" si="48"/>
        <v>6.83591918303178E-3</v>
      </c>
      <c r="H139" s="26">
        <f t="shared" si="48"/>
        <v>5.3064057115477419E-3</v>
      </c>
      <c r="I139" s="26">
        <f t="shared" si="48"/>
        <v>4.2082934756104843E-3</v>
      </c>
      <c r="J139" s="26">
        <f t="shared" si="48"/>
        <v>3.2926315645882675E-3</v>
      </c>
      <c r="K139" s="26">
        <f t="shared" si="48"/>
        <v>5.3993360172287681E-3</v>
      </c>
      <c r="L139" s="26">
        <f t="shared" si="48"/>
        <v>1.0698068584270738E-2</v>
      </c>
      <c r="M139" s="26">
        <f t="shared" si="48"/>
        <v>1.4074252166810753E-2</v>
      </c>
      <c r="N139" s="26">
        <f t="shared" si="48"/>
        <v>8.888059052520117E-3</v>
      </c>
      <c r="O139" s="26">
        <f t="shared" si="48"/>
        <v>1.486288090768184E-2</v>
      </c>
      <c r="P139" s="26">
        <f t="shared" si="48"/>
        <v>2.3300782149196623E-2</v>
      </c>
      <c r="Q139" s="26">
        <f t="shared" si="48"/>
        <v>3.9480033625424363E-2</v>
      </c>
      <c r="R139" s="26">
        <f t="shared" si="48"/>
        <v>7.4855787511872066E-2</v>
      </c>
      <c r="S139" s="26">
        <f t="shared" si="48"/>
        <v>7.4196749655987354E-2</v>
      </c>
      <c r="T139" s="26">
        <f t="shared" si="48"/>
        <v>0.12693938727383405</v>
      </c>
      <c r="U139" s="26">
        <f t="shared" si="48"/>
        <v>0.19877280842204345</v>
      </c>
      <c r="V139" s="26">
        <f t="shared" si="48"/>
        <v>0.16473559196604717</v>
      </c>
      <c r="W139" s="26">
        <f t="shared" si="48"/>
        <v>0.16602979567268755</v>
      </c>
      <c r="X139" s="52">
        <f>X124/Y124</f>
        <v>1.8236506775386597E-3</v>
      </c>
    </row>
  </sheetData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7"/>
  <sheetViews>
    <sheetView topLeftCell="AD1" zoomScale="80" zoomScaleNormal="80" workbookViewId="0">
      <selection activeCell="S27" sqref="S27"/>
    </sheetView>
  </sheetViews>
  <sheetFormatPr baseColWidth="10" defaultRowHeight="15" x14ac:dyDescent="0.25"/>
  <cols>
    <col min="1" max="1" width="25" customWidth="1"/>
    <col min="24" max="24" width="18.85546875" customWidth="1"/>
    <col min="25" max="25" width="14.42578125" customWidth="1"/>
    <col min="26" max="26" width="16.5703125" customWidth="1"/>
    <col min="28" max="28" width="14.28515625" customWidth="1"/>
    <col min="29" max="29" width="14.7109375" customWidth="1"/>
    <col min="30" max="30" width="13.5703125" customWidth="1"/>
  </cols>
  <sheetData>
    <row r="1" spans="1:46" x14ac:dyDescent="0.25">
      <c r="C1" s="2" t="s">
        <v>0</v>
      </c>
      <c r="D1" s="176" t="s">
        <v>1</v>
      </c>
      <c r="E1" s="2" t="s">
        <v>216</v>
      </c>
      <c r="F1" t="s">
        <v>221</v>
      </c>
    </row>
    <row r="2" spans="1:46" ht="18.75" x14ac:dyDescent="0.3">
      <c r="A2" s="39" t="s">
        <v>85</v>
      </c>
      <c r="D2" s="33"/>
      <c r="Z2" s="35"/>
    </row>
    <row r="3" spans="1:46" ht="63.75" x14ac:dyDescent="0.25">
      <c r="A3" s="36" t="s">
        <v>2</v>
      </c>
      <c r="B3" s="84" t="s">
        <v>88</v>
      </c>
      <c r="C3" s="267">
        <v>2000</v>
      </c>
      <c r="D3" s="267">
        <v>2001</v>
      </c>
      <c r="E3" s="267">
        <v>2002</v>
      </c>
      <c r="F3" s="267">
        <v>2003</v>
      </c>
      <c r="G3" s="267">
        <v>2004</v>
      </c>
      <c r="H3" s="267">
        <v>2005</v>
      </c>
      <c r="I3" s="267">
        <v>2006</v>
      </c>
      <c r="J3" s="267">
        <v>2007</v>
      </c>
      <c r="K3" s="267">
        <v>2008</v>
      </c>
      <c r="L3" s="267">
        <v>2009</v>
      </c>
      <c r="M3" s="267">
        <v>2010</v>
      </c>
      <c r="N3" s="267">
        <v>2011</v>
      </c>
      <c r="O3" s="267">
        <v>2012</v>
      </c>
      <c r="P3" s="267">
        <v>2013</v>
      </c>
      <c r="Q3" s="267">
        <v>2014</v>
      </c>
      <c r="R3" s="267">
        <v>2015</v>
      </c>
      <c r="S3" s="267">
        <v>2016</v>
      </c>
      <c r="T3" s="267">
        <v>2017</v>
      </c>
      <c r="U3" s="267">
        <v>2018</v>
      </c>
      <c r="V3" s="267">
        <v>2019</v>
      </c>
      <c r="W3" s="267">
        <v>2020</v>
      </c>
      <c r="X3" s="36" t="s">
        <v>89</v>
      </c>
      <c r="Y3" s="36" t="s">
        <v>90</v>
      </c>
      <c r="Z3" s="38" t="s">
        <v>91</v>
      </c>
      <c r="AB3" s="196" t="s">
        <v>250</v>
      </c>
      <c r="AC3" s="196" t="s">
        <v>251</v>
      </c>
      <c r="AD3" s="196" t="s">
        <v>252</v>
      </c>
      <c r="AE3" s="196" t="s">
        <v>103</v>
      </c>
      <c r="AF3" s="196" t="s">
        <v>254</v>
      </c>
      <c r="AR3" s="251" t="s">
        <v>291</v>
      </c>
      <c r="AS3" s="251" t="s">
        <v>103</v>
      </c>
      <c r="AT3" s="251" t="s">
        <v>292</v>
      </c>
    </row>
    <row r="4" spans="1:46" x14ac:dyDescent="0.25">
      <c r="A4" s="44" t="s">
        <v>49</v>
      </c>
      <c r="B4" s="45">
        <v>3716.63</v>
      </c>
      <c r="C4" s="45">
        <v>5.91</v>
      </c>
      <c r="D4" s="45"/>
      <c r="E4" s="45">
        <v>3.27</v>
      </c>
      <c r="F4" s="45">
        <v>15.24</v>
      </c>
      <c r="G4" s="45">
        <v>2.1800000000000002</v>
      </c>
      <c r="H4" s="45"/>
      <c r="I4" s="45">
        <v>16.239999999999998</v>
      </c>
      <c r="J4" s="45">
        <v>1.84</v>
      </c>
      <c r="K4" s="45">
        <v>1.37</v>
      </c>
      <c r="L4" s="45"/>
      <c r="M4" s="45">
        <v>3.01</v>
      </c>
      <c r="N4" s="45">
        <v>1.47</v>
      </c>
      <c r="O4" s="45"/>
      <c r="P4" s="45">
        <v>9.1199999999999992</v>
      </c>
      <c r="Q4" s="45">
        <v>6.8100000000000005</v>
      </c>
      <c r="R4" s="45">
        <v>6.66</v>
      </c>
      <c r="S4" s="45">
        <v>1.73</v>
      </c>
      <c r="T4" s="45"/>
      <c r="U4" s="45">
        <v>2.1800000000000002</v>
      </c>
      <c r="V4" s="45">
        <v>2.66</v>
      </c>
      <c r="W4" s="45">
        <v>2.61</v>
      </c>
      <c r="X4" s="45">
        <v>15.690000000000001</v>
      </c>
      <c r="Y4" s="45">
        <v>3814.6200000000003</v>
      </c>
      <c r="Z4" s="46">
        <f>Y4/$Y$41</f>
        <v>0.39348899101022783</v>
      </c>
      <c r="AB4" s="45">
        <f>SUM(B4:S4)</f>
        <v>3791.4799999999991</v>
      </c>
      <c r="AC4" s="45">
        <f>SUM(T4:W4)</f>
        <v>7.4499999999999993</v>
      </c>
      <c r="AD4" s="45">
        <f>X4</f>
        <v>15.690000000000001</v>
      </c>
      <c r="AE4" s="45">
        <f>SUM(AB4:AC4)</f>
        <v>3798.9299999999989</v>
      </c>
      <c r="AF4" s="46">
        <f>AC4/AE4</f>
        <v>1.961078514213213E-3</v>
      </c>
      <c r="AQ4" s="44" t="s">
        <v>67</v>
      </c>
      <c r="AR4" s="162">
        <f>AC32</f>
        <v>259.13000000000005</v>
      </c>
      <c r="AS4" s="162">
        <f>AE32</f>
        <v>2388.4499999999998</v>
      </c>
      <c r="AT4" s="249">
        <f>AR4/AS4</f>
        <v>0.10849295568255567</v>
      </c>
    </row>
    <row r="5" spans="1:46" x14ac:dyDescent="0.25">
      <c r="A5" s="13" t="s">
        <v>11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>
        <v>0.01</v>
      </c>
      <c r="Y5" s="14">
        <v>0.01</v>
      </c>
      <c r="Z5" s="26">
        <f t="shared" ref="Z5:Z41" si="0">Y5/$Y$41</f>
        <v>1.0315286739183139E-6</v>
      </c>
      <c r="AB5" s="14">
        <f t="shared" ref="AB5:AB41" si="1">SUM(B5:S5)</f>
        <v>0</v>
      </c>
      <c r="AC5" s="14">
        <f t="shared" ref="AC5:AC41" si="2">SUM(T5:W5)</f>
        <v>0</v>
      </c>
      <c r="AD5" s="14">
        <f t="shared" ref="AD5:AD41" si="3">X5</f>
        <v>0.01</v>
      </c>
      <c r="AE5" s="14">
        <f t="shared" ref="AE5:AE41" si="4">SUM(AB5:AC5)</f>
        <v>0</v>
      </c>
      <c r="AF5" s="26" t="e">
        <f t="shared" ref="AF5:AF41" si="5">AC5/AE5</f>
        <v>#DIV/0!</v>
      </c>
      <c r="AQ5" s="44" t="s">
        <v>54</v>
      </c>
      <c r="AR5" s="162">
        <f>AC29</f>
        <v>108.69</v>
      </c>
      <c r="AS5" s="162">
        <f>AE29</f>
        <v>3167.63</v>
      </c>
      <c r="AT5" s="249">
        <f t="shared" ref="AT5:AT7" si="6">AR5/AS5</f>
        <v>3.4312719604246707E-2</v>
      </c>
    </row>
    <row r="6" spans="1:46" x14ac:dyDescent="0.25">
      <c r="A6" s="13" t="s">
        <v>12</v>
      </c>
      <c r="B6" s="14">
        <v>57.02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>
        <v>57.02</v>
      </c>
      <c r="Z6" s="26">
        <f t="shared" si="0"/>
        <v>5.8817764986822257E-3</v>
      </c>
      <c r="AB6" s="14">
        <f t="shared" si="1"/>
        <v>57.02</v>
      </c>
      <c r="AC6" s="14">
        <f t="shared" si="2"/>
        <v>0</v>
      </c>
      <c r="AD6" s="14">
        <f t="shared" si="3"/>
        <v>0</v>
      </c>
      <c r="AE6" s="14">
        <f t="shared" si="4"/>
        <v>57.02</v>
      </c>
      <c r="AF6" s="26">
        <f t="shared" si="5"/>
        <v>0</v>
      </c>
      <c r="AQ6" s="44" t="s">
        <v>293</v>
      </c>
      <c r="AR6" s="162">
        <f>AC16</f>
        <v>42.899999999999991</v>
      </c>
      <c r="AS6" s="162">
        <f>AE16</f>
        <v>256.5499999999999</v>
      </c>
      <c r="AT6" s="249">
        <f t="shared" si="6"/>
        <v>0.16721886571818362</v>
      </c>
    </row>
    <row r="7" spans="1:46" x14ac:dyDescent="0.25">
      <c r="A7" s="13" t="s">
        <v>14</v>
      </c>
      <c r="B7" s="14">
        <v>85.27000000000001</v>
      </c>
      <c r="C7" s="14">
        <v>2.19</v>
      </c>
      <c r="D7" s="14"/>
      <c r="E7" s="14"/>
      <c r="F7" s="14">
        <v>4.0999999999999996</v>
      </c>
      <c r="G7" s="14"/>
      <c r="H7" s="14"/>
      <c r="I7" s="14"/>
      <c r="J7" s="14">
        <v>1.84</v>
      </c>
      <c r="K7" s="14">
        <v>1.37</v>
      </c>
      <c r="L7" s="14"/>
      <c r="M7" s="14"/>
      <c r="N7" s="14"/>
      <c r="O7" s="14"/>
      <c r="P7" s="14"/>
      <c r="Q7" s="14"/>
      <c r="R7" s="14">
        <v>4.34</v>
      </c>
      <c r="S7" s="14">
        <v>1.73</v>
      </c>
      <c r="T7" s="14"/>
      <c r="U7" s="14">
        <v>2.1800000000000002</v>
      </c>
      <c r="V7" s="14">
        <v>2.66</v>
      </c>
      <c r="W7" s="14">
        <v>2.15</v>
      </c>
      <c r="X7" s="14">
        <v>0.15</v>
      </c>
      <c r="Y7" s="14">
        <v>107.98000000000002</v>
      </c>
      <c r="Z7" s="26">
        <f t="shared" si="0"/>
        <v>1.1138446620969954E-2</v>
      </c>
      <c r="AB7" s="14">
        <f t="shared" si="1"/>
        <v>100.84000000000002</v>
      </c>
      <c r="AC7" s="14">
        <f t="shared" si="2"/>
        <v>6.99</v>
      </c>
      <c r="AD7" s="14">
        <f t="shared" si="3"/>
        <v>0.15</v>
      </c>
      <c r="AE7" s="14">
        <f t="shared" si="4"/>
        <v>107.83000000000001</v>
      </c>
      <c r="AF7" s="26">
        <f t="shared" si="5"/>
        <v>6.482426040990448E-2</v>
      </c>
      <c r="AQ7" s="44" t="s">
        <v>49</v>
      </c>
      <c r="AR7" s="162">
        <f>AC4</f>
        <v>7.4499999999999993</v>
      </c>
      <c r="AS7" s="162">
        <f>AE4</f>
        <v>3798.9299999999989</v>
      </c>
      <c r="AT7" s="249">
        <f t="shared" si="6"/>
        <v>1.961078514213213E-3</v>
      </c>
    </row>
    <row r="8" spans="1:46" x14ac:dyDescent="0.25">
      <c r="A8" s="13" t="s">
        <v>15</v>
      </c>
      <c r="B8" s="14">
        <v>2150.15</v>
      </c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>
        <v>1.47</v>
      </c>
      <c r="O8" s="14"/>
      <c r="P8" s="14"/>
      <c r="Q8" s="14"/>
      <c r="R8" s="14"/>
      <c r="S8" s="14"/>
      <c r="T8" s="14"/>
      <c r="U8" s="14"/>
      <c r="V8" s="14"/>
      <c r="W8" s="14">
        <v>0.46</v>
      </c>
      <c r="X8" s="14">
        <v>0.97</v>
      </c>
      <c r="Y8" s="14">
        <v>2153.0500000000002</v>
      </c>
      <c r="Z8" s="26">
        <f t="shared" si="0"/>
        <v>0.22209328113798257</v>
      </c>
      <c r="AB8" s="14">
        <f t="shared" si="1"/>
        <v>2151.62</v>
      </c>
      <c r="AC8" s="14">
        <f t="shared" si="2"/>
        <v>0.46</v>
      </c>
      <c r="AD8" s="14">
        <f t="shared" si="3"/>
        <v>0.97</v>
      </c>
      <c r="AE8" s="14">
        <f t="shared" si="4"/>
        <v>2152.08</v>
      </c>
      <c r="AF8" s="26">
        <f t="shared" si="5"/>
        <v>2.1374670086613882E-4</v>
      </c>
      <c r="AQ8" s="44"/>
      <c r="AR8" s="162"/>
      <c r="AS8" s="162"/>
      <c r="AT8" s="249"/>
    </row>
    <row r="9" spans="1:46" x14ac:dyDescent="0.25">
      <c r="A9" s="13" t="s">
        <v>16</v>
      </c>
      <c r="B9" s="14">
        <v>2.5099999999999998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>
        <v>1.03</v>
      </c>
      <c r="N9" s="14"/>
      <c r="O9" s="14"/>
      <c r="P9" s="14"/>
      <c r="Q9" s="14">
        <v>1.73</v>
      </c>
      <c r="R9" s="14"/>
      <c r="S9" s="14"/>
      <c r="T9" s="14"/>
      <c r="U9" s="14"/>
      <c r="V9" s="14"/>
      <c r="W9" s="14"/>
      <c r="X9" s="14"/>
      <c r="Y9" s="14">
        <v>5.27</v>
      </c>
      <c r="Z9" s="26">
        <f t="shared" si="0"/>
        <v>5.436156111549513E-4</v>
      </c>
      <c r="AB9" s="14">
        <f t="shared" si="1"/>
        <v>5.27</v>
      </c>
      <c r="AC9" s="14">
        <f t="shared" si="2"/>
        <v>0</v>
      </c>
      <c r="AD9" s="14">
        <f t="shared" si="3"/>
        <v>0</v>
      </c>
      <c r="AE9" s="14">
        <f t="shared" si="4"/>
        <v>5.27</v>
      </c>
      <c r="AF9" s="26">
        <f t="shared" si="5"/>
        <v>0</v>
      </c>
      <c r="AQ9" s="44"/>
      <c r="AR9" s="162"/>
      <c r="AS9" s="162"/>
      <c r="AT9" s="249"/>
    </row>
    <row r="10" spans="1:46" x14ac:dyDescent="0.25">
      <c r="A10" s="13" t="s">
        <v>17</v>
      </c>
      <c r="B10" s="14">
        <v>1344.3799999999999</v>
      </c>
      <c r="C10" s="14">
        <v>3.72</v>
      </c>
      <c r="D10" s="14"/>
      <c r="E10" s="14">
        <v>3.27</v>
      </c>
      <c r="F10" s="14">
        <v>11.14</v>
      </c>
      <c r="G10" s="14">
        <v>2.1800000000000002</v>
      </c>
      <c r="H10" s="14"/>
      <c r="I10" s="14">
        <v>16.239999999999998</v>
      </c>
      <c r="J10" s="14"/>
      <c r="K10" s="14"/>
      <c r="L10" s="14"/>
      <c r="M10" s="14">
        <v>1.98</v>
      </c>
      <c r="N10" s="14"/>
      <c r="O10" s="14"/>
      <c r="P10" s="14">
        <v>9.1199999999999992</v>
      </c>
      <c r="Q10" s="14">
        <v>5.08</v>
      </c>
      <c r="R10" s="14">
        <v>2.3199999999999998</v>
      </c>
      <c r="S10" s="14"/>
      <c r="T10" s="14"/>
      <c r="U10" s="14"/>
      <c r="V10" s="14"/>
      <c r="W10" s="14"/>
      <c r="X10" s="14">
        <v>14.56</v>
      </c>
      <c r="Y10" s="14">
        <v>1413.9899999999998</v>
      </c>
      <c r="Z10" s="26">
        <f t="shared" si="0"/>
        <v>0.14585712296337563</v>
      </c>
      <c r="AB10" s="14">
        <f t="shared" si="1"/>
        <v>1399.4299999999998</v>
      </c>
      <c r="AC10" s="14">
        <f t="shared" si="2"/>
        <v>0</v>
      </c>
      <c r="AD10" s="14">
        <f t="shared" si="3"/>
        <v>14.56</v>
      </c>
      <c r="AE10" s="14">
        <f t="shared" si="4"/>
        <v>1399.4299999999998</v>
      </c>
      <c r="AF10" s="26">
        <f t="shared" si="5"/>
        <v>0</v>
      </c>
    </row>
    <row r="11" spans="1:46" x14ac:dyDescent="0.25">
      <c r="A11" s="13" t="s">
        <v>18</v>
      </c>
      <c r="B11" s="14">
        <v>77.3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>
        <v>77.3</v>
      </c>
      <c r="Z11" s="26">
        <f t="shared" si="0"/>
        <v>7.973716649388566E-3</v>
      </c>
      <c r="AB11" s="14">
        <f t="shared" si="1"/>
        <v>77.3</v>
      </c>
      <c r="AC11" s="14">
        <f t="shared" si="2"/>
        <v>0</v>
      </c>
      <c r="AD11" s="14">
        <f t="shared" si="3"/>
        <v>0</v>
      </c>
      <c r="AE11" s="14">
        <f t="shared" si="4"/>
        <v>77.3</v>
      </c>
      <c r="AF11" s="26">
        <f t="shared" si="5"/>
        <v>0</v>
      </c>
    </row>
    <row r="12" spans="1:46" x14ac:dyDescent="0.25">
      <c r="A12" s="44" t="s">
        <v>63</v>
      </c>
      <c r="B12" s="45">
        <v>1.22</v>
      </c>
      <c r="C12" s="45">
        <v>22.72</v>
      </c>
      <c r="D12" s="45"/>
      <c r="E12" s="45"/>
      <c r="F12" s="45"/>
      <c r="G12" s="45"/>
      <c r="H12" s="45">
        <v>0.63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>
        <v>0.14000000000000001</v>
      </c>
      <c r="U12" s="45">
        <v>0.19</v>
      </c>
      <c r="V12" s="45"/>
      <c r="W12" s="45"/>
      <c r="X12" s="45">
        <v>0.85</v>
      </c>
      <c r="Y12" s="45">
        <v>25.75</v>
      </c>
      <c r="Z12" s="46">
        <f t="shared" si="0"/>
        <v>2.656186335339658E-3</v>
      </c>
      <c r="AB12" s="45">
        <f t="shared" si="1"/>
        <v>24.569999999999997</v>
      </c>
      <c r="AC12" s="45">
        <f>SUM(T12:W12)</f>
        <v>0.33</v>
      </c>
      <c r="AD12" s="45">
        <f t="shared" si="3"/>
        <v>0.85</v>
      </c>
      <c r="AE12" s="45">
        <f t="shared" si="4"/>
        <v>24.899999999999995</v>
      </c>
      <c r="AF12" s="46">
        <f t="shared" si="5"/>
        <v>1.3253012048192774E-2</v>
      </c>
    </row>
    <row r="13" spans="1:46" x14ac:dyDescent="0.25">
      <c r="A13" s="13" t="s">
        <v>64</v>
      </c>
      <c r="B13" s="14">
        <v>1.22</v>
      </c>
      <c r="C13" s="14">
        <v>22.72</v>
      </c>
      <c r="D13" s="14"/>
      <c r="E13" s="14"/>
      <c r="F13" s="14"/>
      <c r="G13" s="14"/>
      <c r="H13" s="14">
        <v>0.63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>
        <v>0.14000000000000001</v>
      </c>
      <c r="U13" s="14">
        <v>0.19</v>
      </c>
      <c r="V13" s="14"/>
      <c r="W13" s="14"/>
      <c r="X13" s="14">
        <v>0.85</v>
      </c>
      <c r="Y13" s="14">
        <v>25.75</v>
      </c>
      <c r="Z13" s="26">
        <f t="shared" si="0"/>
        <v>2.656186335339658E-3</v>
      </c>
      <c r="AB13" s="14">
        <f t="shared" si="1"/>
        <v>24.569999999999997</v>
      </c>
      <c r="AC13" s="14">
        <f t="shared" si="2"/>
        <v>0.33</v>
      </c>
      <c r="AD13" s="14">
        <f t="shared" si="3"/>
        <v>0.85</v>
      </c>
      <c r="AE13" s="14">
        <f t="shared" si="4"/>
        <v>24.899999999999995</v>
      </c>
      <c r="AF13" s="26">
        <f t="shared" si="5"/>
        <v>1.3253012048192774E-2</v>
      </c>
    </row>
    <row r="14" spans="1:46" x14ac:dyDescent="0.25">
      <c r="A14" s="44" t="s">
        <v>60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>
        <v>0.1</v>
      </c>
      <c r="Y14" s="45">
        <v>0.1</v>
      </c>
      <c r="Z14" s="46">
        <f t="shared" si="0"/>
        <v>1.0315286739183138E-5</v>
      </c>
      <c r="AB14" s="45">
        <f t="shared" si="1"/>
        <v>0</v>
      </c>
      <c r="AC14" s="45">
        <f t="shared" si="2"/>
        <v>0</v>
      </c>
      <c r="AD14" s="45">
        <f t="shared" si="3"/>
        <v>0.1</v>
      </c>
      <c r="AE14" s="45">
        <f t="shared" si="4"/>
        <v>0</v>
      </c>
      <c r="AF14" s="46" t="e">
        <f t="shared" si="5"/>
        <v>#DIV/0!</v>
      </c>
    </row>
    <row r="15" spans="1:46" x14ac:dyDescent="0.25">
      <c r="A15" s="13" t="s">
        <v>22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>
        <v>0.1</v>
      </c>
      <c r="Y15" s="14">
        <v>0.1</v>
      </c>
      <c r="Z15" s="26">
        <f t="shared" si="0"/>
        <v>1.0315286739183138E-5</v>
      </c>
      <c r="AB15" s="14">
        <f t="shared" si="1"/>
        <v>0</v>
      </c>
      <c r="AC15" s="14">
        <f t="shared" si="2"/>
        <v>0</v>
      </c>
      <c r="AD15" s="14">
        <f t="shared" si="3"/>
        <v>0.1</v>
      </c>
      <c r="AE15" s="14">
        <f t="shared" si="4"/>
        <v>0</v>
      </c>
      <c r="AF15" s="26" t="e">
        <f t="shared" si="5"/>
        <v>#DIV/0!</v>
      </c>
    </row>
    <row r="16" spans="1:46" x14ac:dyDescent="0.25">
      <c r="A16" s="44" t="s">
        <v>53</v>
      </c>
      <c r="B16" s="45">
        <v>111.5</v>
      </c>
      <c r="C16" s="45">
        <v>26.33</v>
      </c>
      <c r="D16" s="45"/>
      <c r="E16" s="45">
        <v>0.54</v>
      </c>
      <c r="F16" s="45">
        <v>3.48</v>
      </c>
      <c r="G16" s="45">
        <v>0.74</v>
      </c>
      <c r="H16" s="45">
        <v>6.89</v>
      </c>
      <c r="I16" s="45">
        <v>0.35</v>
      </c>
      <c r="J16" s="45">
        <v>1.9100000000000001</v>
      </c>
      <c r="K16" s="45">
        <v>0.63</v>
      </c>
      <c r="L16" s="45">
        <v>4.99</v>
      </c>
      <c r="M16" s="45">
        <v>11.709999999999997</v>
      </c>
      <c r="N16" s="45">
        <v>1.92</v>
      </c>
      <c r="O16" s="45">
        <v>1.7000000000000002</v>
      </c>
      <c r="P16" s="45">
        <v>6.67</v>
      </c>
      <c r="Q16" s="45">
        <v>15.44</v>
      </c>
      <c r="R16" s="45">
        <v>9.7899999999999991</v>
      </c>
      <c r="S16" s="45">
        <v>9.06</v>
      </c>
      <c r="T16" s="45">
        <v>4.07</v>
      </c>
      <c r="U16" s="45">
        <v>30.189999999999998</v>
      </c>
      <c r="V16" s="45">
        <v>3.6200000000000006</v>
      </c>
      <c r="W16" s="45">
        <v>5.0199999999999996</v>
      </c>
      <c r="X16" s="45">
        <v>1.31</v>
      </c>
      <c r="Y16" s="45">
        <v>257.86</v>
      </c>
      <c r="Z16" s="46">
        <f t="shared" si="0"/>
        <v>2.659899838565764E-2</v>
      </c>
      <c r="AB16" s="45">
        <f t="shared" si="1"/>
        <v>213.64999999999992</v>
      </c>
      <c r="AC16" s="45">
        <f t="shared" si="2"/>
        <v>42.899999999999991</v>
      </c>
      <c r="AD16" s="45">
        <f t="shared" si="3"/>
        <v>1.31</v>
      </c>
      <c r="AE16" s="45">
        <f t="shared" si="4"/>
        <v>256.5499999999999</v>
      </c>
      <c r="AF16" s="46">
        <f t="shared" si="5"/>
        <v>0.16721886571818362</v>
      </c>
    </row>
    <row r="17" spans="1:32" x14ac:dyDescent="0.25">
      <c r="A17" s="13" t="s">
        <v>34</v>
      </c>
      <c r="B17" s="14">
        <v>8.2000000000000011</v>
      </c>
      <c r="C17" s="14">
        <v>2.52</v>
      </c>
      <c r="D17" s="14"/>
      <c r="E17" s="14"/>
      <c r="F17" s="14"/>
      <c r="G17" s="14"/>
      <c r="H17" s="14"/>
      <c r="I17" s="14"/>
      <c r="J17" s="14">
        <v>0.04</v>
      </c>
      <c r="K17" s="14"/>
      <c r="L17" s="14"/>
      <c r="M17" s="14">
        <v>0.47</v>
      </c>
      <c r="N17" s="14"/>
      <c r="O17" s="14"/>
      <c r="P17" s="14"/>
      <c r="Q17" s="14"/>
      <c r="R17" s="14">
        <v>2.38</v>
      </c>
      <c r="S17" s="14"/>
      <c r="T17" s="14">
        <v>0.62</v>
      </c>
      <c r="U17" s="14">
        <v>1.27</v>
      </c>
      <c r="V17" s="14">
        <v>0.25</v>
      </c>
      <c r="W17" s="14">
        <v>0.94</v>
      </c>
      <c r="X17" s="14"/>
      <c r="Y17" s="14">
        <v>16.690000000000001</v>
      </c>
      <c r="Z17" s="26">
        <f t="shared" si="0"/>
        <v>1.7216213567696659E-3</v>
      </c>
      <c r="AB17" s="14">
        <f t="shared" si="1"/>
        <v>13.61</v>
      </c>
      <c r="AC17" s="14">
        <f t="shared" si="2"/>
        <v>3.08</v>
      </c>
      <c r="AD17" s="14">
        <f t="shared" si="3"/>
        <v>0</v>
      </c>
      <c r="AE17" s="14">
        <f t="shared" si="4"/>
        <v>16.689999999999998</v>
      </c>
      <c r="AF17" s="26">
        <f t="shared" si="5"/>
        <v>0.18454164170161777</v>
      </c>
    </row>
    <row r="18" spans="1:32" x14ac:dyDescent="0.25">
      <c r="A18" s="13" t="s">
        <v>35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>
        <v>0.92</v>
      </c>
      <c r="X18" s="14"/>
      <c r="Y18" s="14">
        <v>0.92</v>
      </c>
      <c r="Z18" s="26">
        <f t="shared" si="0"/>
        <v>9.490063800048487E-5</v>
      </c>
      <c r="AB18" s="14">
        <f t="shared" si="1"/>
        <v>0</v>
      </c>
      <c r="AC18" s="14">
        <f t="shared" si="2"/>
        <v>0.92</v>
      </c>
      <c r="AD18" s="14">
        <f t="shared" si="3"/>
        <v>0</v>
      </c>
      <c r="AE18" s="14">
        <f t="shared" si="4"/>
        <v>0.92</v>
      </c>
      <c r="AF18" s="26">
        <f t="shared" si="5"/>
        <v>1</v>
      </c>
    </row>
    <row r="19" spans="1:32" x14ac:dyDescent="0.25">
      <c r="A19" s="13" t="s">
        <v>36</v>
      </c>
      <c r="B19" s="14">
        <v>72.210000000000008</v>
      </c>
      <c r="C19" s="14">
        <v>0.51</v>
      </c>
      <c r="D19" s="14"/>
      <c r="E19" s="14"/>
      <c r="F19" s="14"/>
      <c r="G19" s="14">
        <v>0.57999999999999996</v>
      </c>
      <c r="H19" s="14">
        <v>0.17</v>
      </c>
      <c r="I19" s="14">
        <v>0.05</v>
      </c>
      <c r="J19" s="14">
        <v>0.51</v>
      </c>
      <c r="K19" s="14">
        <v>0.02</v>
      </c>
      <c r="L19" s="14">
        <v>0.57999999999999996</v>
      </c>
      <c r="M19" s="14">
        <v>0.14000000000000001</v>
      </c>
      <c r="N19" s="14">
        <v>1.92</v>
      </c>
      <c r="O19" s="14">
        <v>0.54</v>
      </c>
      <c r="P19" s="14">
        <v>1.5599999999999998</v>
      </c>
      <c r="Q19" s="14">
        <v>0.22000000000000003</v>
      </c>
      <c r="R19" s="14">
        <v>3.8700000000000006</v>
      </c>
      <c r="S19" s="14">
        <v>0.64999999999999991</v>
      </c>
      <c r="T19" s="14">
        <v>2.63</v>
      </c>
      <c r="U19" s="14">
        <v>26.009999999999998</v>
      </c>
      <c r="V19" s="14">
        <v>0.82000000000000006</v>
      </c>
      <c r="W19" s="14">
        <v>1.98</v>
      </c>
      <c r="X19" s="14">
        <v>1.08</v>
      </c>
      <c r="Y19" s="14">
        <v>116.05</v>
      </c>
      <c r="Z19" s="26">
        <f t="shared" si="0"/>
        <v>1.1970890260822032E-2</v>
      </c>
      <c r="AB19" s="14">
        <f t="shared" si="1"/>
        <v>83.53000000000003</v>
      </c>
      <c r="AC19" s="14">
        <f t="shared" si="2"/>
        <v>31.439999999999998</v>
      </c>
      <c r="AD19" s="14">
        <f t="shared" si="3"/>
        <v>1.08</v>
      </c>
      <c r="AE19" s="14">
        <f t="shared" si="4"/>
        <v>114.97000000000003</v>
      </c>
      <c r="AF19" s="26">
        <f t="shared" si="5"/>
        <v>0.27346264242845952</v>
      </c>
    </row>
    <row r="20" spans="1:32" x14ac:dyDescent="0.25">
      <c r="A20" s="13" t="s">
        <v>38</v>
      </c>
      <c r="B20" s="14">
        <v>22.93</v>
      </c>
      <c r="C20" s="14">
        <v>2.44</v>
      </c>
      <c r="D20" s="14"/>
      <c r="E20" s="14"/>
      <c r="F20" s="14"/>
      <c r="G20" s="14"/>
      <c r="H20" s="14">
        <v>1.47</v>
      </c>
      <c r="I20" s="14"/>
      <c r="J20" s="14"/>
      <c r="K20" s="14"/>
      <c r="L20" s="14"/>
      <c r="M20" s="14">
        <v>0.52</v>
      </c>
      <c r="N20" s="14"/>
      <c r="O20" s="14">
        <v>0.5</v>
      </c>
      <c r="P20" s="14"/>
      <c r="Q20" s="14">
        <v>0.84</v>
      </c>
      <c r="R20" s="14">
        <v>0.65</v>
      </c>
      <c r="S20" s="14">
        <v>1.85</v>
      </c>
      <c r="T20" s="14"/>
      <c r="U20" s="14"/>
      <c r="V20" s="14">
        <v>0.4</v>
      </c>
      <c r="W20" s="14">
        <v>1.18</v>
      </c>
      <c r="X20" s="14">
        <v>0.04</v>
      </c>
      <c r="Y20" s="14">
        <v>32.82</v>
      </c>
      <c r="Z20" s="26">
        <f t="shared" si="0"/>
        <v>3.3854771077999057E-3</v>
      </c>
      <c r="AB20" s="14">
        <f t="shared" si="1"/>
        <v>31.2</v>
      </c>
      <c r="AC20" s="14">
        <f t="shared" si="2"/>
        <v>1.58</v>
      </c>
      <c r="AD20" s="14">
        <f t="shared" si="3"/>
        <v>0.04</v>
      </c>
      <c r="AE20" s="14">
        <f t="shared" si="4"/>
        <v>32.78</v>
      </c>
      <c r="AF20" s="26">
        <f t="shared" si="5"/>
        <v>4.8200122025625382E-2</v>
      </c>
    </row>
    <row r="21" spans="1:32" x14ac:dyDescent="0.25">
      <c r="A21" s="13" t="s">
        <v>42</v>
      </c>
      <c r="B21" s="14">
        <v>8.1599999999999984</v>
      </c>
      <c r="C21" s="14">
        <v>20.86</v>
      </c>
      <c r="D21" s="14"/>
      <c r="E21" s="14">
        <v>0.54</v>
      </c>
      <c r="F21" s="14">
        <v>3.48</v>
      </c>
      <c r="G21" s="14">
        <v>0.16</v>
      </c>
      <c r="H21" s="14">
        <v>5.25</v>
      </c>
      <c r="I21" s="14">
        <v>0.3</v>
      </c>
      <c r="J21" s="14">
        <v>1.36</v>
      </c>
      <c r="K21" s="14">
        <v>0.61</v>
      </c>
      <c r="L21" s="14">
        <v>4.41</v>
      </c>
      <c r="M21" s="14">
        <v>10.579999999999998</v>
      </c>
      <c r="N21" s="14"/>
      <c r="O21" s="14">
        <v>0.66</v>
      </c>
      <c r="P21" s="14">
        <v>5.1100000000000003</v>
      </c>
      <c r="Q21" s="14">
        <v>14.379999999999999</v>
      </c>
      <c r="R21" s="14">
        <v>2.8899999999999997</v>
      </c>
      <c r="S21" s="14">
        <v>6.5600000000000005</v>
      </c>
      <c r="T21" s="14">
        <v>0.82000000000000006</v>
      </c>
      <c r="U21" s="14">
        <v>2.91</v>
      </c>
      <c r="V21" s="14">
        <v>2.1500000000000004</v>
      </c>
      <c r="W21" s="14"/>
      <c r="X21" s="14">
        <v>0.19</v>
      </c>
      <c r="Y21" s="14">
        <v>91.38</v>
      </c>
      <c r="Z21" s="26">
        <f t="shared" si="0"/>
        <v>9.4261090222655507E-3</v>
      </c>
      <c r="AB21" s="14">
        <f t="shared" si="1"/>
        <v>85.309999999999974</v>
      </c>
      <c r="AC21" s="14">
        <f t="shared" si="2"/>
        <v>5.8800000000000008</v>
      </c>
      <c r="AD21" s="14">
        <f t="shared" si="3"/>
        <v>0.19</v>
      </c>
      <c r="AE21" s="14">
        <f t="shared" si="4"/>
        <v>91.189999999999969</v>
      </c>
      <c r="AF21" s="26">
        <f t="shared" si="5"/>
        <v>6.4480754468691767E-2</v>
      </c>
    </row>
    <row r="22" spans="1:32" x14ac:dyDescent="0.25">
      <c r="A22" s="44" t="s">
        <v>52</v>
      </c>
      <c r="B22" s="45">
        <v>1.1100000000000001</v>
      </c>
      <c r="C22" s="45"/>
      <c r="D22" s="45"/>
      <c r="E22" s="45">
        <v>0.78</v>
      </c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>
        <v>0.24</v>
      </c>
      <c r="T22" s="45"/>
      <c r="U22" s="45"/>
      <c r="V22" s="45"/>
      <c r="W22" s="45"/>
      <c r="X22" s="45"/>
      <c r="Y22" s="45">
        <v>2.13</v>
      </c>
      <c r="Z22" s="46">
        <f t="shared" si="0"/>
        <v>2.1971560754460083E-4</v>
      </c>
      <c r="AB22" s="45">
        <f t="shared" si="1"/>
        <v>2.13</v>
      </c>
      <c r="AC22" s="45">
        <f t="shared" si="2"/>
        <v>0</v>
      </c>
      <c r="AD22" s="45">
        <f t="shared" si="3"/>
        <v>0</v>
      </c>
      <c r="AE22" s="45">
        <f t="shared" si="4"/>
        <v>2.13</v>
      </c>
      <c r="AF22" s="46">
        <f t="shared" si="5"/>
        <v>0</v>
      </c>
    </row>
    <row r="23" spans="1:32" x14ac:dyDescent="0.25">
      <c r="A23" s="13" t="s">
        <v>33</v>
      </c>
      <c r="B23" s="14">
        <v>1.1100000000000001</v>
      </c>
      <c r="C23" s="14"/>
      <c r="D23" s="14"/>
      <c r="E23" s="14">
        <v>0.78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>
        <v>0.24</v>
      </c>
      <c r="T23" s="14"/>
      <c r="U23" s="14"/>
      <c r="V23" s="14"/>
      <c r="W23" s="14"/>
      <c r="X23" s="14"/>
      <c r="Y23" s="14">
        <v>2.13</v>
      </c>
      <c r="Z23" s="26">
        <f t="shared" si="0"/>
        <v>2.1971560754460083E-4</v>
      </c>
      <c r="AB23" s="14">
        <f t="shared" si="1"/>
        <v>2.13</v>
      </c>
      <c r="AC23" s="14">
        <f t="shared" si="2"/>
        <v>0</v>
      </c>
      <c r="AD23" s="14">
        <f t="shared" si="3"/>
        <v>0</v>
      </c>
      <c r="AE23" s="14">
        <f t="shared" si="4"/>
        <v>2.13</v>
      </c>
      <c r="AF23" s="26">
        <f t="shared" si="5"/>
        <v>0</v>
      </c>
    </row>
    <row r="24" spans="1:32" x14ac:dyDescent="0.25">
      <c r="A24" s="44" t="s">
        <v>65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>
        <v>4.4700000000000006</v>
      </c>
      <c r="Y24" s="45">
        <v>4.4700000000000006</v>
      </c>
      <c r="Z24" s="46">
        <f t="shared" si="0"/>
        <v>4.6109331724148632E-4</v>
      </c>
      <c r="AB24" s="45">
        <f t="shared" si="1"/>
        <v>0</v>
      </c>
      <c r="AC24" s="45">
        <f t="shared" si="2"/>
        <v>0</v>
      </c>
      <c r="AD24" s="45">
        <f t="shared" si="3"/>
        <v>4.4700000000000006</v>
      </c>
      <c r="AE24" s="45">
        <f t="shared" si="4"/>
        <v>0</v>
      </c>
      <c r="AF24" s="46" t="e">
        <f t="shared" si="5"/>
        <v>#DIV/0!</v>
      </c>
    </row>
    <row r="25" spans="1:32" x14ac:dyDescent="0.25">
      <c r="A25" s="13" t="s">
        <v>66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>
        <v>4.4700000000000006</v>
      </c>
      <c r="Y25" s="14">
        <v>4.4700000000000006</v>
      </c>
      <c r="Z25" s="26">
        <f t="shared" si="0"/>
        <v>4.6109331724148632E-4</v>
      </c>
      <c r="AB25" s="14">
        <f t="shared" si="1"/>
        <v>0</v>
      </c>
      <c r="AC25" s="14">
        <f t="shared" si="2"/>
        <v>0</v>
      </c>
      <c r="AD25" s="14">
        <f t="shared" si="3"/>
        <v>4.4700000000000006</v>
      </c>
      <c r="AE25" s="14">
        <f t="shared" si="4"/>
        <v>0</v>
      </c>
      <c r="AF25" s="26" t="e">
        <f t="shared" si="5"/>
        <v>#DIV/0!</v>
      </c>
    </row>
    <row r="26" spans="1:32" x14ac:dyDescent="0.25">
      <c r="A26" s="44" t="s">
        <v>51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>
        <v>9.25</v>
      </c>
      <c r="Y26" s="45">
        <v>9.25</v>
      </c>
      <c r="Z26" s="46">
        <f t="shared" si="0"/>
        <v>9.5416402337444026E-4</v>
      </c>
      <c r="AB26" s="45">
        <f t="shared" si="1"/>
        <v>0</v>
      </c>
      <c r="AC26" s="45">
        <f t="shared" si="2"/>
        <v>0</v>
      </c>
      <c r="AD26" s="45">
        <f t="shared" si="3"/>
        <v>9.25</v>
      </c>
      <c r="AE26" s="45">
        <f t="shared" si="4"/>
        <v>0</v>
      </c>
      <c r="AF26" s="46" t="e">
        <f t="shared" si="5"/>
        <v>#DIV/0!</v>
      </c>
    </row>
    <row r="27" spans="1:32" x14ac:dyDescent="0.25">
      <c r="A27" s="13" t="s">
        <v>26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>
        <v>2.09</v>
      </c>
      <c r="Y27" s="14">
        <v>2.09</v>
      </c>
      <c r="Z27" s="26">
        <f t="shared" si="0"/>
        <v>2.1558949284892757E-4</v>
      </c>
      <c r="AB27" s="14">
        <f t="shared" si="1"/>
        <v>0</v>
      </c>
      <c r="AC27" s="14">
        <f t="shared" si="2"/>
        <v>0</v>
      </c>
      <c r="AD27" s="14">
        <f t="shared" si="3"/>
        <v>2.09</v>
      </c>
      <c r="AE27" s="14">
        <f t="shared" si="4"/>
        <v>0</v>
      </c>
      <c r="AF27" s="26" t="e">
        <f t="shared" si="5"/>
        <v>#DIV/0!</v>
      </c>
    </row>
    <row r="28" spans="1:32" x14ac:dyDescent="0.25">
      <c r="A28" s="13" t="s">
        <v>28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>
        <v>7.16</v>
      </c>
      <c r="Y28" s="14">
        <v>7.16</v>
      </c>
      <c r="Z28" s="26">
        <f t="shared" si="0"/>
        <v>7.3857453052551271E-4</v>
      </c>
      <c r="AB28" s="14">
        <f t="shared" si="1"/>
        <v>0</v>
      </c>
      <c r="AC28" s="14">
        <f t="shared" si="2"/>
        <v>0</v>
      </c>
      <c r="AD28" s="14">
        <f t="shared" si="3"/>
        <v>7.16</v>
      </c>
      <c r="AE28" s="14">
        <f t="shared" si="4"/>
        <v>0</v>
      </c>
      <c r="AF28" s="26" t="e">
        <f t="shared" si="5"/>
        <v>#DIV/0!</v>
      </c>
    </row>
    <row r="29" spans="1:32" x14ac:dyDescent="0.25">
      <c r="A29" s="44" t="s">
        <v>54</v>
      </c>
      <c r="B29" s="45">
        <v>2266.0699999999997</v>
      </c>
      <c r="C29" s="45">
        <v>203.57999999999998</v>
      </c>
      <c r="D29" s="45">
        <v>12.54</v>
      </c>
      <c r="E29" s="45">
        <v>7.26</v>
      </c>
      <c r="F29" s="45">
        <v>10.580000000000002</v>
      </c>
      <c r="G29" s="45">
        <v>15.940000000000001</v>
      </c>
      <c r="H29" s="45">
        <v>37.480000000000004</v>
      </c>
      <c r="I29" s="45">
        <v>31.2</v>
      </c>
      <c r="J29" s="45">
        <v>29.290000000000003</v>
      </c>
      <c r="K29" s="45">
        <v>18.36</v>
      </c>
      <c r="L29" s="45">
        <v>22.650000000000002</v>
      </c>
      <c r="M29" s="45">
        <v>93.2</v>
      </c>
      <c r="N29" s="45">
        <v>16.61</v>
      </c>
      <c r="O29" s="45">
        <v>39.379999999999995</v>
      </c>
      <c r="P29" s="45">
        <v>29.36</v>
      </c>
      <c r="Q29" s="45">
        <v>69.72</v>
      </c>
      <c r="R29" s="45">
        <v>129.42000000000002</v>
      </c>
      <c r="S29" s="45">
        <v>26.3</v>
      </c>
      <c r="T29" s="45">
        <v>25.71</v>
      </c>
      <c r="U29" s="45">
        <v>35.25</v>
      </c>
      <c r="V29" s="45">
        <v>23.62</v>
      </c>
      <c r="W29" s="45">
        <v>24.11</v>
      </c>
      <c r="X29" s="45"/>
      <c r="Y29" s="45">
        <v>3167.6299999999997</v>
      </c>
      <c r="Z29" s="46">
        <f t="shared" si="0"/>
        <v>0.32675011733638681</v>
      </c>
      <c r="AB29" s="45">
        <f t="shared" si="1"/>
        <v>3058.94</v>
      </c>
      <c r="AC29" s="45">
        <f t="shared" si="2"/>
        <v>108.69</v>
      </c>
      <c r="AD29" s="45">
        <f t="shared" si="3"/>
        <v>0</v>
      </c>
      <c r="AE29" s="45">
        <f t="shared" si="4"/>
        <v>3167.63</v>
      </c>
      <c r="AF29" s="46">
        <f t="shared" si="5"/>
        <v>3.4312719604246707E-2</v>
      </c>
    </row>
    <row r="30" spans="1:32" x14ac:dyDescent="0.25">
      <c r="A30" s="13" t="s">
        <v>43</v>
      </c>
      <c r="B30" s="14">
        <v>44.37</v>
      </c>
      <c r="C30" s="14"/>
      <c r="D30" s="14"/>
      <c r="E30" s="14"/>
      <c r="F30" s="14"/>
      <c r="G30" s="14"/>
      <c r="H30" s="14"/>
      <c r="I30" s="14"/>
      <c r="J30" s="14"/>
      <c r="K30" s="14"/>
      <c r="L30" s="14">
        <v>0.02</v>
      </c>
      <c r="M30" s="14"/>
      <c r="N30" s="14"/>
      <c r="O30" s="14"/>
      <c r="P30" s="14"/>
      <c r="Q30" s="14"/>
      <c r="R30" s="14">
        <v>4.6499999999999995</v>
      </c>
      <c r="S30" s="14"/>
      <c r="T30" s="14"/>
      <c r="U30" s="14"/>
      <c r="V30" s="14">
        <v>0.57999999999999996</v>
      </c>
      <c r="W30" s="14"/>
      <c r="X30" s="14"/>
      <c r="Y30" s="14">
        <v>49.620000000000005</v>
      </c>
      <c r="Z30" s="26">
        <f t="shared" si="0"/>
        <v>5.1184452799826734E-3</v>
      </c>
      <c r="AB30" s="14">
        <f t="shared" si="1"/>
        <v>49.04</v>
      </c>
      <c r="AC30" s="14">
        <f t="shared" si="2"/>
        <v>0.57999999999999996</v>
      </c>
      <c r="AD30" s="14">
        <f t="shared" si="3"/>
        <v>0</v>
      </c>
      <c r="AE30" s="14">
        <f t="shared" si="4"/>
        <v>49.62</v>
      </c>
      <c r="AF30" s="26">
        <f t="shared" si="5"/>
        <v>1.1688835147118097E-2</v>
      </c>
    </row>
    <row r="31" spans="1:32" x14ac:dyDescent="0.25">
      <c r="A31" s="13" t="s">
        <v>44</v>
      </c>
      <c r="B31" s="14">
        <v>2221.6999999999998</v>
      </c>
      <c r="C31" s="14">
        <v>203.57999999999998</v>
      </c>
      <c r="D31" s="14">
        <v>12.54</v>
      </c>
      <c r="E31" s="14">
        <v>7.26</v>
      </c>
      <c r="F31" s="14">
        <v>10.580000000000002</v>
      </c>
      <c r="G31" s="14">
        <v>15.940000000000001</v>
      </c>
      <c r="H31" s="14">
        <v>37.480000000000004</v>
      </c>
      <c r="I31" s="14">
        <v>31.2</v>
      </c>
      <c r="J31" s="14">
        <v>29.290000000000003</v>
      </c>
      <c r="K31" s="14">
        <v>18.36</v>
      </c>
      <c r="L31" s="14">
        <v>22.630000000000003</v>
      </c>
      <c r="M31" s="14">
        <v>93.2</v>
      </c>
      <c r="N31" s="14">
        <v>16.61</v>
      </c>
      <c r="O31" s="14">
        <v>39.379999999999995</v>
      </c>
      <c r="P31" s="14">
        <v>29.36</v>
      </c>
      <c r="Q31" s="14">
        <v>69.72</v>
      </c>
      <c r="R31" s="14">
        <v>124.77000000000001</v>
      </c>
      <c r="S31" s="14">
        <v>26.3</v>
      </c>
      <c r="T31" s="14">
        <v>25.71</v>
      </c>
      <c r="U31" s="14">
        <v>35.25</v>
      </c>
      <c r="V31" s="14">
        <v>23.040000000000003</v>
      </c>
      <c r="W31" s="14">
        <v>24.11</v>
      </c>
      <c r="X31" s="14"/>
      <c r="Y31" s="14">
        <v>3118.0099999999998</v>
      </c>
      <c r="Z31" s="26">
        <f t="shared" si="0"/>
        <v>0.32163167205640414</v>
      </c>
      <c r="AB31" s="14">
        <f t="shared" si="1"/>
        <v>3009.9</v>
      </c>
      <c r="AC31" s="14">
        <f t="shared" si="2"/>
        <v>108.11</v>
      </c>
      <c r="AD31" s="14">
        <f t="shared" si="3"/>
        <v>0</v>
      </c>
      <c r="AE31" s="14">
        <f t="shared" si="4"/>
        <v>3118.01</v>
      </c>
      <c r="AF31" s="26">
        <f t="shared" si="5"/>
        <v>3.4672756020667023E-2</v>
      </c>
    </row>
    <row r="32" spans="1:32" x14ac:dyDescent="0.25">
      <c r="A32" s="44" t="s">
        <v>67</v>
      </c>
      <c r="B32" s="45">
        <v>1593.46</v>
      </c>
      <c r="C32" s="45">
        <v>106.34</v>
      </c>
      <c r="D32" s="45">
        <v>7.7</v>
      </c>
      <c r="E32" s="45">
        <v>7.84</v>
      </c>
      <c r="F32" s="45">
        <v>22.220000000000002</v>
      </c>
      <c r="G32" s="45">
        <v>19.079999999999998</v>
      </c>
      <c r="H32" s="45">
        <v>29.71</v>
      </c>
      <c r="I32" s="45">
        <v>5.83</v>
      </c>
      <c r="J32" s="45">
        <v>5.5</v>
      </c>
      <c r="K32" s="45">
        <v>16.48</v>
      </c>
      <c r="L32" s="45">
        <v>20.84</v>
      </c>
      <c r="M32" s="45">
        <v>45.88</v>
      </c>
      <c r="N32" s="45">
        <v>4.7999999999999989</v>
      </c>
      <c r="O32" s="45">
        <v>16.34</v>
      </c>
      <c r="P32" s="45">
        <v>33.260000000000005</v>
      </c>
      <c r="Q32" s="45">
        <v>55.23</v>
      </c>
      <c r="R32" s="45">
        <v>60.519999999999996</v>
      </c>
      <c r="S32" s="45">
        <v>78.290000000000006</v>
      </c>
      <c r="T32" s="45">
        <v>141.06000000000003</v>
      </c>
      <c r="U32" s="45">
        <v>58.08</v>
      </c>
      <c r="V32" s="45">
        <v>44.510000000000005</v>
      </c>
      <c r="W32" s="45">
        <v>15.479999999999999</v>
      </c>
      <c r="X32" s="45">
        <v>22.04</v>
      </c>
      <c r="Y32" s="45">
        <v>2410.4899999999998</v>
      </c>
      <c r="Z32" s="46">
        <f t="shared" si="0"/>
        <v>0.24864895531933559</v>
      </c>
      <c r="AB32" s="45">
        <f t="shared" si="1"/>
        <v>2129.3199999999997</v>
      </c>
      <c r="AC32" s="45">
        <f t="shared" si="2"/>
        <v>259.13000000000005</v>
      </c>
      <c r="AD32" s="45">
        <f t="shared" si="3"/>
        <v>22.04</v>
      </c>
      <c r="AE32" s="45">
        <f t="shared" si="4"/>
        <v>2388.4499999999998</v>
      </c>
      <c r="AF32" s="46">
        <f t="shared" si="5"/>
        <v>0.10849295568255567</v>
      </c>
    </row>
    <row r="33" spans="1:32" x14ac:dyDescent="0.25">
      <c r="A33" s="13" t="s">
        <v>68</v>
      </c>
      <c r="B33" s="14">
        <v>8.5</v>
      </c>
      <c r="C33" s="14">
        <v>0.18</v>
      </c>
      <c r="D33" s="14"/>
      <c r="E33" s="14"/>
      <c r="F33" s="14"/>
      <c r="G33" s="14">
        <v>0.06</v>
      </c>
      <c r="H33" s="14">
        <v>0.64</v>
      </c>
      <c r="I33" s="14">
        <v>0.44</v>
      </c>
      <c r="J33" s="14"/>
      <c r="K33" s="14">
        <v>0.06</v>
      </c>
      <c r="L33" s="14">
        <v>0.42</v>
      </c>
      <c r="M33" s="14">
        <v>1.4300000000000002</v>
      </c>
      <c r="N33" s="14"/>
      <c r="O33" s="14">
        <v>4.29</v>
      </c>
      <c r="P33" s="14">
        <v>0.24</v>
      </c>
      <c r="Q33" s="14">
        <v>2.5099999999999998</v>
      </c>
      <c r="R33" s="14">
        <v>0.71</v>
      </c>
      <c r="S33" s="14">
        <v>0.04</v>
      </c>
      <c r="T33" s="14">
        <v>4.0600000000000005</v>
      </c>
      <c r="U33" s="14">
        <v>3.1799999999999997</v>
      </c>
      <c r="V33" s="14">
        <v>16.399999999999999</v>
      </c>
      <c r="W33" s="14">
        <v>8.4</v>
      </c>
      <c r="X33" s="14">
        <v>0.22</v>
      </c>
      <c r="Y33" s="14">
        <v>51.779999999999994</v>
      </c>
      <c r="Z33" s="26">
        <f t="shared" si="0"/>
        <v>5.3412554735490286E-3</v>
      </c>
      <c r="AB33" s="14">
        <f t="shared" si="1"/>
        <v>19.519999999999996</v>
      </c>
      <c r="AC33" s="14">
        <f t="shared" si="2"/>
        <v>32.04</v>
      </c>
      <c r="AD33" s="14">
        <f t="shared" si="3"/>
        <v>0.22</v>
      </c>
      <c r="AE33" s="14">
        <f t="shared" si="4"/>
        <v>51.559999999999995</v>
      </c>
      <c r="AF33" s="26">
        <f t="shared" si="5"/>
        <v>0.62141194724592708</v>
      </c>
    </row>
    <row r="34" spans="1:32" x14ac:dyDescent="0.25">
      <c r="A34" s="13" t="s">
        <v>98</v>
      </c>
      <c r="B34" s="14">
        <v>783.80000000000007</v>
      </c>
      <c r="C34" s="14">
        <v>10.24</v>
      </c>
      <c r="D34" s="14">
        <v>0.62</v>
      </c>
      <c r="E34" s="14">
        <v>0.38</v>
      </c>
      <c r="F34" s="14">
        <v>0.25</v>
      </c>
      <c r="G34" s="14">
        <v>7.79</v>
      </c>
      <c r="H34" s="14">
        <v>1.8499999999999999</v>
      </c>
      <c r="I34" s="14">
        <v>0.61</v>
      </c>
      <c r="J34" s="14">
        <v>1.31</v>
      </c>
      <c r="K34" s="14">
        <v>3.5200000000000005</v>
      </c>
      <c r="L34" s="14">
        <v>7.26</v>
      </c>
      <c r="M34" s="14">
        <v>10.53</v>
      </c>
      <c r="N34" s="14">
        <v>1.69</v>
      </c>
      <c r="O34" s="14">
        <v>2.5999999999999996</v>
      </c>
      <c r="P34" s="14">
        <v>21.490000000000002</v>
      </c>
      <c r="Q34" s="14">
        <v>27.15</v>
      </c>
      <c r="R34" s="14">
        <v>12.35</v>
      </c>
      <c r="S34" s="14">
        <v>38.630000000000003</v>
      </c>
      <c r="T34" s="14">
        <v>76.28</v>
      </c>
      <c r="U34" s="14">
        <v>19.11</v>
      </c>
      <c r="V34" s="14">
        <v>13.280000000000001</v>
      </c>
      <c r="W34" s="14">
        <v>2.2999999999999998</v>
      </c>
      <c r="X34" s="14">
        <v>9.41</v>
      </c>
      <c r="Y34" s="14">
        <v>1052.4499999999998</v>
      </c>
      <c r="Z34" s="26">
        <f t="shared" si="0"/>
        <v>0.10856323528653292</v>
      </c>
      <c r="AB34" s="14">
        <f t="shared" si="1"/>
        <v>932.07</v>
      </c>
      <c r="AC34" s="14">
        <f t="shared" si="2"/>
        <v>110.97</v>
      </c>
      <c r="AD34" s="14">
        <f t="shared" si="3"/>
        <v>9.41</v>
      </c>
      <c r="AE34" s="14">
        <f t="shared" si="4"/>
        <v>1043.04</v>
      </c>
      <c r="AF34" s="26">
        <f t="shared" si="5"/>
        <v>0.1063909341923608</v>
      </c>
    </row>
    <row r="35" spans="1:32" x14ac:dyDescent="0.25">
      <c r="A35" s="13" t="s">
        <v>70</v>
      </c>
      <c r="B35" s="14">
        <v>723.04000000000019</v>
      </c>
      <c r="C35" s="14">
        <v>88.65</v>
      </c>
      <c r="D35" s="14">
        <v>6.57</v>
      </c>
      <c r="E35" s="14">
        <v>6.47</v>
      </c>
      <c r="F35" s="14">
        <v>21.970000000000002</v>
      </c>
      <c r="G35" s="14">
        <v>10.66</v>
      </c>
      <c r="H35" s="14">
        <v>25.520000000000003</v>
      </c>
      <c r="I35" s="14">
        <v>4.5200000000000005</v>
      </c>
      <c r="J35" s="14">
        <v>4.1900000000000004</v>
      </c>
      <c r="K35" s="14">
        <v>12.2</v>
      </c>
      <c r="L35" s="14">
        <v>12.36</v>
      </c>
      <c r="M35" s="14">
        <v>32.79</v>
      </c>
      <c r="N35" s="14">
        <v>3.0999999999999996</v>
      </c>
      <c r="O35" s="14">
        <v>9.3099999999999987</v>
      </c>
      <c r="P35" s="14">
        <v>10.61</v>
      </c>
      <c r="Q35" s="14">
        <v>23.31</v>
      </c>
      <c r="R35" s="14">
        <v>46.18</v>
      </c>
      <c r="S35" s="14">
        <v>37.17</v>
      </c>
      <c r="T35" s="14">
        <v>53.14</v>
      </c>
      <c r="U35" s="14">
        <v>23.630000000000003</v>
      </c>
      <c r="V35" s="14">
        <v>8.3000000000000007</v>
      </c>
      <c r="W35" s="14">
        <v>0.36</v>
      </c>
      <c r="X35" s="14">
        <v>11.509999999999998</v>
      </c>
      <c r="Y35" s="14">
        <v>1175.56</v>
      </c>
      <c r="Z35" s="26">
        <f t="shared" si="0"/>
        <v>0.12126238479114129</v>
      </c>
      <c r="AB35" s="14">
        <f t="shared" si="1"/>
        <v>1078.6200000000003</v>
      </c>
      <c r="AC35" s="14">
        <f t="shared" si="2"/>
        <v>85.43</v>
      </c>
      <c r="AD35" s="14">
        <f t="shared" si="3"/>
        <v>11.509999999999998</v>
      </c>
      <c r="AE35" s="14">
        <f t="shared" si="4"/>
        <v>1164.0500000000004</v>
      </c>
      <c r="AF35" s="26">
        <f t="shared" si="5"/>
        <v>7.3390318285297004E-2</v>
      </c>
    </row>
    <row r="36" spans="1:32" x14ac:dyDescent="0.25">
      <c r="A36" s="13" t="s">
        <v>71</v>
      </c>
      <c r="B36" s="14">
        <v>78.12</v>
      </c>
      <c r="C36" s="14">
        <v>7.27</v>
      </c>
      <c r="D36" s="14">
        <v>0.51</v>
      </c>
      <c r="E36" s="14">
        <v>0.9900000000000001</v>
      </c>
      <c r="F36" s="14"/>
      <c r="G36" s="14">
        <v>0.56999999999999995</v>
      </c>
      <c r="H36" s="14">
        <v>1.7</v>
      </c>
      <c r="I36" s="14">
        <v>0.26</v>
      </c>
      <c r="J36" s="14"/>
      <c r="K36" s="14">
        <v>0.7</v>
      </c>
      <c r="L36" s="14">
        <v>0.8</v>
      </c>
      <c r="M36" s="14">
        <v>1.1299999999999999</v>
      </c>
      <c r="N36" s="14">
        <v>0.01</v>
      </c>
      <c r="O36" s="14">
        <v>0.14000000000000001</v>
      </c>
      <c r="P36" s="14">
        <v>0.91999999999999993</v>
      </c>
      <c r="Q36" s="14">
        <v>2.2600000000000002</v>
      </c>
      <c r="R36" s="14">
        <v>1.28</v>
      </c>
      <c r="S36" s="14">
        <v>2.4500000000000002</v>
      </c>
      <c r="T36" s="14">
        <v>7.58</v>
      </c>
      <c r="U36" s="14">
        <v>12.16</v>
      </c>
      <c r="V36" s="14">
        <v>6.5299999999999994</v>
      </c>
      <c r="W36" s="14">
        <v>4.42</v>
      </c>
      <c r="X36" s="14">
        <v>0.9</v>
      </c>
      <c r="Y36" s="14">
        <v>130.69999999999999</v>
      </c>
      <c r="Z36" s="26">
        <f t="shared" si="0"/>
        <v>1.3482079768112359E-2</v>
      </c>
      <c r="AB36" s="14">
        <f t="shared" si="1"/>
        <v>99.110000000000014</v>
      </c>
      <c r="AC36" s="14">
        <f t="shared" si="2"/>
        <v>30.690000000000005</v>
      </c>
      <c r="AD36" s="14">
        <f t="shared" si="3"/>
        <v>0.9</v>
      </c>
      <c r="AE36" s="14">
        <f t="shared" si="4"/>
        <v>129.80000000000001</v>
      </c>
      <c r="AF36" s="26">
        <f t="shared" si="5"/>
        <v>0.23644067796610171</v>
      </c>
    </row>
    <row r="37" spans="1:32" x14ac:dyDescent="0.25">
      <c r="A37" s="44" t="s">
        <v>57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>
        <v>0.89</v>
      </c>
      <c r="U37" s="45"/>
      <c r="V37" s="45"/>
      <c r="W37" s="45"/>
      <c r="X37" s="45"/>
      <c r="Y37" s="45">
        <v>0.89</v>
      </c>
      <c r="Z37" s="46">
        <f t="shared" si="0"/>
        <v>9.1806051978729922E-5</v>
      </c>
      <c r="AB37" s="45">
        <f t="shared" si="1"/>
        <v>0</v>
      </c>
      <c r="AC37" s="45">
        <f t="shared" si="2"/>
        <v>0.89</v>
      </c>
      <c r="AD37" s="45">
        <f t="shared" si="3"/>
        <v>0</v>
      </c>
      <c r="AE37" s="45">
        <f t="shared" si="4"/>
        <v>0.89</v>
      </c>
      <c r="AF37" s="46">
        <f t="shared" si="5"/>
        <v>1</v>
      </c>
    </row>
    <row r="38" spans="1:32" x14ac:dyDescent="0.25">
      <c r="A38" s="13" t="s">
        <v>47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>
        <v>0.89</v>
      </c>
      <c r="U38" s="14"/>
      <c r="V38" s="14"/>
      <c r="W38" s="14"/>
      <c r="X38" s="14"/>
      <c r="Y38" s="14">
        <v>0.89</v>
      </c>
      <c r="Z38" s="26">
        <f t="shared" si="0"/>
        <v>9.1806051978729922E-5</v>
      </c>
      <c r="AB38" s="14">
        <f t="shared" si="1"/>
        <v>0</v>
      </c>
      <c r="AC38" s="14">
        <f t="shared" si="2"/>
        <v>0.89</v>
      </c>
      <c r="AD38" s="14">
        <f t="shared" si="3"/>
        <v>0</v>
      </c>
      <c r="AE38" s="14">
        <f t="shared" si="4"/>
        <v>0.89</v>
      </c>
      <c r="AF38" s="26">
        <f t="shared" si="5"/>
        <v>1</v>
      </c>
    </row>
    <row r="39" spans="1:32" x14ac:dyDescent="0.25">
      <c r="A39" s="44" t="s">
        <v>86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>
        <v>0.15</v>
      </c>
      <c r="V39" s="45">
        <v>0.8</v>
      </c>
      <c r="W39" s="45">
        <v>0.21</v>
      </c>
      <c r="X39" s="45"/>
      <c r="Y39" s="45">
        <v>1.1600000000000001</v>
      </c>
      <c r="Z39" s="46">
        <f t="shared" si="0"/>
        <v>1.1965732617452441E-4</v>
      </c>
      <c r="AB39" s="45">
        <f t="shared" si="1"/>
        <v>0</v>
      </c>
      <c r="AC39" s="45">
        <f t="shared" si="2"/>
        <v>1.1600000000000001</v>
      </c>
      <c r="AD39" s="45">
        <f t="shared" si="3"/>
        <v>0</v>
      </c>
      <c r="AE39" s="45">
        <f t="shared" si="4"/>
        <v>1.1600000000000001</v>
      </c>
      <c r="AF39" s="46">
        <f t="shared" si="5"/>
        <v>1</v>
      </c>
    </row>
    <row r="40" spans="1:32" x14ac:dyDescent="0.25">
      <c r="A40" s="13" t="s">
        <v>72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>
        <v>0.15</v>
      </c>
      <c r="V40" s="14">
        <v>0.8</v>
      </c>
      <c r="W40" s="14">
        <v>0.21</v>
      </c>
      <c r="X40" s="14"/>
      <c r="Y40" s="14">
        <v>1.1600000000000001</v>
      </c>
      <c r="Z40" s="26">
        <f t="shared" si="0"/>
        <v>1.1965732617452441E-4</v>
      </c>
      <c r="AB40" s="14">
        <f t="shared" si="1"/>
        <v>0</v>
      </c>
      <c r="AC40" s="14">
        <f t="shared" si="2"/>
        <v>1.1600000000000001</v>
      </c>
      <c r="AD40" s="14">
        <f t="shared" si="3"/>
        <v>0</v>
      </c>
      <c r="AE40" s="14">
        <f t="shared" si="4"/>
        <v>1.1600000000000001</v>
      </c>
      <c r="AF40" s="26">
        <f t="shared" si="5"/>
        <v>1</v>
      </c>
    </row>
    <row r="41" spans="1:32" x14ac:dyDescent="0.25">
      <c r="A41" s="85" t="s">
        <v>59</v>
      </c>
      <c r="B41" s="86">
        <v>7689.9899999999943</v>
      </c>
      <c r="C41" s="86">
        <v>364.88</v>
      </c>
      <c r="D41" s="86">
        <v>20.240000000000002</v>
      </c>
      <c r="E41" s="86">
        <v>19.689999999999998</v>
      </c>
      <c r="F41" s="86">
        <v>51.519999999999996</v>
      </c>
      <c r="G41" s="86">
        <v>37.94</v>
      </c>
      <c r="H41" s="86">
        <v>74.709999999999994</v>
      </c>
      <c r="I41" s="86">
        <v>53.62</v>
      </c>
      <c r="J41" s="86">
        <v>38.54</v>
      </c>
      <c r="K41" s="86">
        <v>36.840000000000003</v>
      </c>
      <c r="L41" s="86">
        <v>48.480000000000004</v>
      </c>
      <c r="M41" s="86">
        <v>153.80000000000001</v>
      </c>
      <c r="N41" s="86">
        <v>24.799999999999997</v>
      </c>
      <c r="O41" s="86">
        <v>57.42</v>
      </c>
      <c r="P41" s="86">
        <v>78.41</v>
      </c>
      <c r="Q41" s="86">
        <v>147.19999999999999</v>
      </c>
      <c r="R41" s="86">
        <v>206.39</v>
      </c>
      <c r="S41" s="86">
        <v>115.62</v>
      </c>
      <c r="T41" s="86">
        <v>171.87</v>
      </c>
      <c r="U41" s="86">
        <v>126.03999999999999</v>
      </c>
      <c r="V41" s="86">
        <v>75.210000000000008</v>
      </c>
      <c r="W41" s="86">
        <v>47.430000000000007</v>
      </c>
      <c r="X41" s="86">
        <v>53.71</v>
      </c>
      <c r="Y41" s="86">
        <v>9694.3499999999949</v>
      </c>
      <c r="Z41" s="49">
        <f t="shared" si="0"/>
        <v>1</v>
      </c>
      <c r="AB41" s="86">
        <f t="shared" si="1"/>
        <v>9220.0899999999947</v>
      </c>
      <c r="AC41" s="86">
        <f t="shared" si="2"/>
        <v>420.55</v>
      </c>
      <c r="AD41" s="86">
        <f t="shared" si="3"/>
        <v>53.71</v>
      </c>
      <c r="AE41" s="86">
        <f t="shared" si="4"/>
        <v>9640.639999999994</v>
      </c>
      <c r="AF41" s="49">
        <f t="shared" si="5"/>
        <v>4.3622622564477076E-2</v>
      </c>
    </row>
    <row r="42" spans="1:32" x14ac:dyDescent="0.25">
      <c r="A42" t="s">
        <v>289</v>
      </c>
      <c r="C42" s="162">
        <f>B41+C41</f>
        <v>8054.8699999999944</v>
      </c>
      <c r="D42" s="162">
        <f>C42+D41</f>
        <v>8075.1099999999942</v>
      </c>
      <c r="E42" s="162">
        <f t="shared" ref="E42:W42" si="7">D42+E41</f>
        <v>8094.7999999999938</v>
      </c>
      <c r="F42" s="162">
        <f t="shared" si="7"/>
        <v>8146.3199999999943</v>
      </c>
      <c r="G42" s="162">
        <f t="shared" si="7"/>
        <v>8184.2599999999939</v>
      </c>
      <c r="H42" s="162">
        <f t="shared" si="7"/>
        <v>8258.9699999999939</v>
      </c>
      <c r="I42" s="162">
        <f t="shared" si="7"/>
        <v>8312.5899999999947</v>
      </c>
      <c r="J42" s="162">
        <f t="shared" si="7"/>
        <v>8351.1299999999956</v>
      </c>
      <c r="K42" s="162">
        <f t="shared" si="7"/>
        <v>8387.9699999999957</v>
      </c>
      <c r="L42" s="162">
        <f t="shared" si="7"/>
        <v>8436.4499999999953</v>
      </c>
      <c r="M42" s="162">
        <f t="shared" si="7"/>
        <v>8590.2499999999945</v>
      </c>
      <c r="N42" s="162">
        <f t="shared" si="7"/>
        <v>8615.0499999999938</v>
      </c>
      <c r="O42" s="162">
        <f t="shared" si="7"/>
        <v>8672.4699999999939</v>
      </c>
      <c r="P42" s="162">
        <f t="shared" si="7"/>
        <v>8750.8799999999937</v>
      </c>
      <c r="Q42" s="162">
        <f t="shared" si="7"/>
        <v>8898.0799999999945</v>
      </c>
      <c r="R42" s="162">
        <f t="shared" si="7"/>
        <v>9104.4699999999939</v>
      </c>
      <c r="S42" s="162">
        <f t="shared" si="7"/>
        <v>9220.0899999999947</v>
      </c>
      <c r="T42" s="162">
        <f t="shared" si="7"/>
        <v>9391.9599999999955</v>
      </c>
      <c r="U42" s="162">
        <f t="shared" si="7"/>
        <v>9517.9999999999964</v>
      </c>
      <c r="V42" s="162">
        <f t="shared" si="7"/>
        <v>9593.2099999999955</v>
      </c>
      <c r="W42" s="162">
        <f t="shared" si="7"/>
        <v>9640.6399999999958</v>
      </c>
      <c r="AE42" s="162">
        <f>SUM(N41:S41)</f>
        <v>629.84</v>
      </c>
      <c r="AF42" s="165">
        <f>AE42/AE41</f>
        <v>6.5331762206658525E-2</v>
      </c>
    </row>
    <row r="43" spans="1:32" x14ac:dyDescent="0.25">
      <c r="A43" t="s">
        <v>290</v>
      </c>
      <c r="D43" s="165">
        <f>D42/C42-1</f>
        <v>2.5127655691525863E-3</v>
      </c>
      <c r="E43" s="165">
        <f t="shared" ref="E43:W43" si="8">E42/D42-1</f>
        <v>2.4383568768722164E-3</v>
      </c>
      <c r="F43" s="165">
        <f t="shared" si="8"/>
        <v>6.3645797301972173E-3</v>
      </c>
      <c r="G43" s="165">
        <f t="shared" si="8"/>
        <v>4.657317659998661E-3</v>
      </c>
      <c r="H43" s="165">
        <f t="shared" si="8"/>
        <v>9.1284978727459443E-3</v>
      </c>
      <c r="I43" s="165">
        <f t="shared" si="8"/>
        <v>6.4923350006116376E-3</v>
      </c>
      <c r="J43" s="165">
        <f t="shared" si="8"/>
        <v>4.6363407794682843E-3</v>
      </c>
      <c r="K43" s="165">
        <f t="shared" si="8"/>
        <v>4.4113790588817814E-3</v>
      </c>
      <c r="L43" s="165">
        <f t="shared" si="8"/>
        <v>5.7797059360011893E-3</v>
      </c>
      <c r="M43" s="165">
        <f t="shared" si="8"/>
        <v>1.823041682224158E-2</v>
      </c>
      <c r="N43" s="165">
        <f t="shared" si="8"/>
        <v>2.8869939757281138E-3</v>
      </c>
      <c r="O43" s="165">
        <f t="shared" si="8"/>
        <v>6.6650802955292576E-3</v>
      </c>
      <c r="P43" s="165">
        <f t="shared" si="8"/>
        <v>9.0412535298478591E-3</v>
      </c>
      <c r="Q43" s="165">
        <f t="shared" si="8"/>
        <v>1.6821165414221184E-2</v>
      </c>
      <c r="R43" s="165">
        <f t="shared" si="8"/>
        <v>2.3194891482207325E-2</v>
      </c>
      <c r="S43" s="165">
        <f t="shared" si="8"/>
        <v>1.2699256519050683E-2</v>
      </c>
      <c r="T43" s="165">
        <f t="shared" si="8"/>
        <v>1.86408158705611E-2</v>
      </c>
      <c r="U43" s="165">
        <f t="shared" si="8"/>
        <v>1.3419989011878242E-2</v>
      </c>
      <c r="V43" s="165">
        <f t="shared" si="8"/>
        <v>7.901870140785805E-3</v>
      </c>
      <c r="W43" s="165">
        <f t="shared" si="8"/>
        <v>4.9441219362444944E-3</v>
      </c>
    </row>
    <row r="45" spans="1:32" ht="15.75" x14ac:dyDescent="0.25">
      <c r="A45" s="40" t="s">
        <v>94</v>
      </c>
      <c r="B45" s="41" t="s">
        <v>88</v>
      </c>
      <c r="C45" s="41">
        <v>2000</v>
      </c>
      <c r="D45" s="41">
        <v>2001</v>
      </c>
      <c r="E45" s="41">
        <v>2002</v>
      </c>
      <c r="F45" s="41">
        <v>2003</v>
      </c>
      <c r="G45" s="41">
        <v>2004</v>
      </c>
      <c r="H45" s="41">
        <v>2005</v>
      </c>
      <c r="I45" s="41">
        <v>2006</v>
      </c>
      <c r="J45" s="41">
        <v>2007</v>
      </c>
      <c r="K45" s="41">
        <v>2008</v>
      </c>
      <c r="L45" s="41">
        <v>2009</v>
      </c>
      <c r="M45" s="41">
        <v>2010</v>
      </c>
      <c r="N45" s="41">
        <v>2011</v>
      </c>
      <c r="O45" s="41">
        <v>2012</v>
      </c>
      <c r="P45" s="41">
        <v>2013</v>
      </c>
      <c r="Q45" s="41">
        <v>2014</v>
      </c>
      <c r="R45" s="41">
        <v>2015</v>
      </c>
      <c r="S45" s="41">
        <v>2016</v>
      </c>
      <c r="T45" s="41">
        <v>2017</v>
      </c>
      <c r="U45" s="41">
        <v>2018</v>
      </c>
      <c r="V45" s="41">
        <v>2019</v>
      </c>
      <c r="W45" s="41">
        <v>2020</v>
      </c>
      <c r="X45" s="42" t="s">
        <v>89</v>
      </c>
    </row>
    <row r="46" spans="1:32" x14ac:dyDescent="0.25">
      <c r="A46" s="43" t="s">
        <v>49</v>
      </c>
      <c r="B46" s="26">
        <f>B4/$Y$4</f>
        <v>0.9743119891365325</v>
      </c>
      <c r="C46" s="26">
        <f t="shared" ref="C46:W46" si="9">C4/$Y$4</f>
        <v>1.5493024206867261E-3</v>
      </c>
      <c r="D46" s="26">
        <f t="shared" si="9"/>
        <v>0</v>
      </c>
      <c r="E46" s="26">
        <f t="shared" si="9"/>
        <v>8.572282429180363E-4</v>
      </c>
      <c r="F46" s="26">
        <f t="shared" si="9"/>
        <v>3.9951554807556187E-3</v>
      </c>
      <c r="G46" s="26">
        <f t="shared" si="9"/>
        <v>5.7148549527869094E-4</v>
      </c>
      <c r="H46" s="26">
        <f t="shared" si="9"/>
        <v>0</v>
      </c>
      <c r="I46" s="26">
        <f t="shared" si="9"/>
        <v>4.2573047905164856E-3</v>
      </c>
      <c r="J46" s="26">
        <f t="shared" si="9"/>
        <v>4.8235472995999598E-4</v>
      </c>
      <c r="K46" s="26">
        <f t="shared" si="9"/>
        <v>3.5914455437238832E-4</v>
      </c>
      <c r="L46" s="26">
        <f t="shared" si="9"/>
        <v>0</v>
      </c>
      <c r="M46" s="26">
        <f t="shared" si="9"/>
        <v>7.8906942238021077E-4</v>
      </c>
      <c r="N46" s="26">
        <f t="shared" si="9"/>
        <v>3.8535948534847505E-4</v>
      </c>
      <c r="O46" s="26">
        <f t="shared" si="9"/>
        <v>0</v>
      </c>
      <c r="P46" s="26">
        <f t="shared" si="9"/>
        <v>2.3908017050191101E-3</v>
      </c>
      <c r="Q46" s="26">
        <f t="shared" si="9"/>
        <v>1.7852367994715069E-3</v>
      </c>
      <c r="R46" s="26">
        <f t="shared" si="9"/>
        <v>1.7459144030073767E-3</v>
      </c>
      <c r="S46" s="26">
        <f t="shared" si="9"/>
        <v>4.5351830588630053E-4</v>
      </c>
      <c r="T46" s="26">
        <f t="shared" si="9"/>
        <v>0</v>
      </c>
      <c r="U46" s="26">
        <f t="shared" si="9"/>
        <v>5.7148549527869094E-4</v>
      </c>
      <c r="V46" s="26">
        <f t="shared" si="9"/>
        <v>6.9731716396390726E-4</v>
      </c>
      <c r="W46" s="26">
        <f t="shared" si="9"/>
        <v>6.8420969847586381E-4</v>
      </c>
      <c r="X46" s="52">
        <f>X4/Y4</f>
        <v>4.1131226701480094E-3</v>
      </c>
    </row>
    <row r="47" spans="1:32" x14ac:dyDescent="0.25">
      <c r="A47" s="43" t="s">
        <v>63</v>
      </c>
      <c r="B47" s="26">
        <f>B12/$Y$12</f>
        <v>4.7378640776699031E-2</v>
      </c>
      <c r="C47" s="26">
        <f t="shared" ref="C47:W47" si="10">C12/$Y$12</f>
        <v>0.88233009708737864</v>
      </c>
      <c r="D47" s="26">
        <f t="shared" si="10"/>
        <v>0</v>
      </c>
      <c r="E47" s="26">
        <f t="shared" si="10"/>
        <v>0</v>
      </c>
      <c r="F47" s="26">
        <f t="shared" si="10"/>
        <v>0</v>
      </c>
      <c r="G47" s="26">
        <f t="shared" si="10"/>
        <v>0</v>
      </c>
      <c r="H47" s="26">
        <f t="shared" si="10"/>
        <v>2.446601941747573E-2</v>
      </c>
      <c r="I47" s="26">
        <f t="shared" si="10"/>
        <v>0</v>
      </c>
      <c r="J47" s="26">
        <f t="shared" si="10"/>
        <v>0</v>
      </c>
      <c r="K47" s="26">
        <f t="shared" si="10"/>
        <v>0</v>
      </c>
      <c r="L47" s="26">
        <f t="shared" si="10"/>
        <v>0</v>
      </c>
      <c r="M47" s="26">
        <f t="shared" si="10"/>
        <v>0</v>
      </c>
      <c r="N47" s="26">
        <f t="shared" si="10"/>
        <v>0</v>
      </c>
      <c r="O47" s="26">
        <f t="shared" si="10"/>
        <v>0</v>
      </c>
      <c r="P47" s="26">
        <f t="shared" si="10"/>
        <v>0</v>
      </c>
      <c r="Q47" s="26">
        <f t="shared" si="10"/>
        <v>0</v>
      </c>
      <c r="R47" s="26">
        <f t="shared" si="10"/>
        <v>0</v>
      </c>
      <c r="S47" s="26">
        <f t="shared" si="10"/>
        <v>0</v>
      </c>
      <c r="T47" s="26">
        <f t="shared" si="10"/>
        <v>5.436893203883496E-3</v>
      </c>
      <c r="U47" s="26">
        <f t="shared" si="10"/>
        <v>7.3786407766990294E-3</v>
      </c>
      <c r="V47" s="26">
        <f t="shared" si="10"/>
        <v>0</v>
      </c>
      <c r="W47" s="26">
        <f t="shared" si="10"/>
        <v>0</v>
      </c>
      <c r="X47" s="51">
        <f>X12/Y12</f>
        <v>3.3009708737864074E-2</v>
      </c>
    </row>
    <row r="48" spans="1:32" x14ac:dyDescent="0.25">
      <c r="A48" s="43" t="s">
        <v>60</v>
      </c>
      <c r="B48" s="26">
        <f>B14/$Y$14</f>
        <v>0</v>
      </c>
      <c r="C48" s="26">
        <f t="shared" ref="C48:W48" si="11">C14/$Y$14</f>
        <v>0</v>
      </c>
      <c r="D48" s="26">
        <f t="shared" si="11"/>
        <v>0</v>
      </c>
      <c r="E48" s="26">
        <f t="shared" si="11"/>
        <v>0</v>
      </c>
      <c r="F48" s="26">
        <f t="shared" si="11"/>
        <v>0</v>
      </c>
      <c r="G48" s="26">
        <f t="shared" si="11"/>
        <v>0</v>
      </c>
      <c r="H48" s="26">
        <f t="shared" si="11"/>
        <v>0</v>
      </c>
      <c r="I48" s="26">
        <f t="shared" si="11"/>
        <v>0</v>
      </c>
      <c r="J48" s="26">
        <f t="shared" si="11"/>
        <v>0</v>
      </c>
      <c r="K48" s="26">
        <f t="shared" si="11"/>
        <v>0</v>
      </c>
      <c r="L48" s="26">
        <f t="shared" si="11"/>
        <v>0</v>
      </c>
      <c r="M48" s="26">
        <f t="shared" si="11"/>
        <v>0</v>
      </c>
      <c r="N48" s="26">
        <f t="shared" si="11"/>
        <v>0</v>
      </c>
      <c r="O48" s="26">
        <f t="shared" si="11"/>
        <v>0</v>
      </c>
      <c r="P48" s="26">
        <f t="shared" si="11"/>
        <v>0</v>
      </c>
      <c r="Q48" s="26">
        <f t="shared" si="11"/>
        <v>0</v>
      </c>
      <c r="R48" s="26">
        <f t="shared" si="11"/>
        <v>0</v>
      </c>
      <c r="S48" s="26">
        <f t="shared" si="11"/>
        <v>0</v>
      </c>
      <c r="T48" s="26">
        <f t="shared" si="11"/>
        <v>0</v>
      </c>
      <c r="U48" s="26">
        <f t="shared" si="11"/>
        <v>0</v>
      </c>
      <c r="V48" s="26">
        <f t="shared" si="11"/>
        <v>0</v>
      </c>
      <c r="W48" s="26">
        <f t="shared" si="11"/>
        <v>0</v>
      </c>
      <c r="X48" s="54">
        <f>X14/Y14</f>
        <v>1</v>
      </c>
    </row>
    <row r="49" spans="1:24" x14ac:dyDescent="0.25">
      <c r="A49" s="43" t="s">
        <v>65</v>
      </c>
      <c r="B49" s="26">
        <f>B24/$Y$24</f>
        <v>0</v>
      </c>
      <c r="C49" s="26">
        <f t="shared" ref="C49:W49" si="12">C24/$Y$24</f>
        <v>0</v>
      </c>
      <c r="D49" s="26">
        <f t="shared" si="12"/>
        <v>0</v>
      </c>
      <c r="E49" s="26">
        <f t="shared" si="12"/>
        <v>0</v>
      </c>
      <c r="F49" s="26">
        <f t="shared" si="12"/>
        <v>0</v>
      </c>
      <c r="G49" s="26">
        <f t="shared" si="12"/>
        <v>0</v>
      </c>
      <c r="H49" s="26">
        <f t="shared" si="12"/>
        <v>0</v>
      </c>
      <c r="I49" s="26">
        <f t="shared" si="12"/>
        <v>0</v>
      </c>
      <c r="J49" s="26">
        <f t="shared" si="12"/>
        <v>0</v>
      </c>
      <c r="K49" s="26">
        <f t="shared" si="12"/>
        <v>0</v>
      </c>
      <c r="L49" s="26">
        <f t="shared" si="12"/>
        <v>0</v>
      </c>
      <c r="M49" s="26">
        <f t="shared" si="12"/>
        <v>0</v>
      </c>
      <c r="N49" s="26">
        <f t="shared" si="12"/>
        <v>0</v>
      </c>
      <c r="O49" s="26">
        <f t="shared" si="12"/>
        <v>0</v>
      </c>
      <c r="P49" s="26">
        <f t="shared" si="12"/>
        <v>0</v>
      </c>
      <c r="Q49" s="26">
        <f t="shared" si="12"/>
        <v>0</v>
      </c>
      <c r="R49" s="26">
        <f t="shared" si="12"/>
        <v>0</v>
      </c>
      <c r="S49" s="26">
        <f t="shared" si="12"/>
        <v>0</v>
      </c>
      <c r="T49" s="26">
        <f t="shared" si="12"/>
        <v>0</v>
      </c>
      <c r="U49" s="26">
        <f t="shared" si="12"/>
        <v>0</v>
      </c>
      <c r="V49" s="26">
        <f t="shared" si="12"/>
        <v>0</v>
      </c>
      <c r="W49" s="26">
        <f t="shared" si="12"/>
        <v>0</v>
      </c>
      <c r="X49" s="54">
        <f>X24/Y24</f>
        <v>1</v>
      </c>
    </row>
    <row r="50" spans="1:24" x14ac:dyDescent="0.25">
      <c r="A50" s="43" t="s">
        <v>51</v>
      </c>
      <c r="B50" s="26">
        <f>B26/$Y$26</f>
        <v>0</v>
      </c>
      <c r="C50" s="26">
        <f t="shared" ref="C50:W50" si="13">C26/$Y$26</f>
        <v>0</v>
      </c>
      <c r="D50" s="26">
        <f t="shared" si="13"/>
        <v>0</v>
      </c>
      <c r="E50" s="26">
        <f t="shared" si="13"/>
        <v>0</v>
      </c>
      <c r="F50" s="26">
        <f t="shared" si="13"/>
        <v>0</v>
      </c>
      <c r="G50" s="26">
        <f t="shared" si="13"/>
        <v>0</v>
      </c>
      <c r="H50" s="26">
        <f t="shared" si="13"/>
        <v>0</v>
      </c>
      <c r="I50" s="26">
        <f t="shared" si="13"/>
        <v>0</v>
      </c>
      <c r="J50" s="26">
        <f t="shared" si="13"/>
        <v>0</v>
      </c>
      <c r="K50" s="26">
        <f t="shared" si="13"/>
        <v>0</v>
      </c>
      <c r="L50" s="26">
        <f t="shared" si="13"/>
        <v>0</v>
      </c>
      <c r="M50" s="26">
        <f t="shared" si="13"/>
        <v>0</v>
      </c>
      <c r="N50" s="26">
        <f t="shared" si="13"/>
        <v>0</v>
      </c>
      <c r="O50" s="26">
        <f t="shared" si="13"/>
        <v>0</v>
      </c>
      <c r="P50" s="26">
        <f t="shared" si="13"/>
        <v>0</v>
      </c>
      <c r="Q50" s="26">
        <f t="shared" si="13"/>
        <v>0</v>
      </c>
      <c r="R50" s="26">
        <f t="shared" si="13"/>
        <v>0</v>
      </c>
      <c r="S50" s="26">
        <f t="shared" si="13"/>
        <v>0</v>
      </c>
      <c r="T50" s="26">
        <f t="shared" si="13"/>
        <v>0</v>
      </c>
      <c r="U50" s="26">
        <f t="shared" si="13"/>
        <v>0</v>
      </c>
      <c r="V50" s="26">
        <f t="shared" si="13"/>
        <v>0</v>
      </c>
      <c r="W50" s="26">
        <f t="shared" si="13"/>
        <v>0</v>
      </c>
      <c r="X50" s="54">
        <f>X26/Y26</f>
        <v>1</v>
      </c>
    </row>
    <row r="51" spans="1:24" x14ac:dyDescent="0.25">
      <c r="A51" s="43" t="s">
        <v>52</v>
      </c>
      <c r="B51" s="26">
        <f>B22/$Y$22</f>
        <v>0.52112676056338036</v>
      </c>
      <c r="C51" s="26">
        <f t="shared" ref="C51:W51" si="14">C22/$Y$22</f>
        <v>0</v>
      </c>
      <c r="D51" s="26">
        <f t="shared" si="14"/>
        <v>0</v>
      </c>
      <c r="E51" s="26">
        <f t="shared" si="14"/>
        <v>0.36619718309859156</v>
      </c>
      <c r="F51" s="26">
        <f t="shared" si="14"/>
        <v>0</v>
      </c>
      <c r="G51" s="26">
        <f t="shared" si="14"/>
        <v>0</v>
      </c>
      <c r="H51" s="26">
        <f t="shared" si="14"/>
        <v>0</v>
      </c>
      <c r="I51" s="26">
        <f t="shared" si="14"/>
        <v>0</v>
      </c>
      <c r="J51" s="26">
        <f t="shared" si="14"/>
        <v>0</v>
      </c>
      <c r="K51" s="26">
        <f t="shared" si="14"/>
        <v>0</v>
      </c>
      <c r="L51" s="26">
        <f t="shared" si="14"/>
        <v>0</v>
      </c>
      <c r="M51" s="26">
        <f t="shared" si="14"/>
        <v>0</v>
      </c>
      <c r="N51" s="26">
        <f t="shared" si="14"/>
        <v>0</v>
      </c>
      <c r="O51" s="26">
        <f t="shared" si="14"/>
        <v>0</v>
      </c>
      <c r="P51" s="26">
        <f t="shared" si="14"/>
        <v>0</v>
      </c>
      <c r="Q51" s="26">
        <f t="shared" si="14"/>
        <v>0</v>
      </c>
      <c r="R51" s="26">
        <f t="shared" si="14"/>
        <v>0</v>
      </c>
      <c r="S51" s="26">
        <f t="shared" si="14"/>
        <v>0.11267605633802817</v>
      </c>
      <c r="T51" s="26">
        <f t="shared" si="14"/>
        <v>0</v>
      </c>
      <c r="U51" s="26">
        <f t="shared" si="14"/>
        <v>0</v>
      </c>
      <c r="V51" s="26">
        <f t="shared" si="14"/>
        <v>0</v>
      </c>
      <c r="W51" s="26">
        <f t="shared" si="14"/>
        <v>0</v>
      </c>
      <c r="X51" s="54">
        <f>X22/Y22</f>
        <v>0</v>
      </c>
    </row>
    <row r="52" spans="1:24" x14ac:dyDescent="0.25">
      <c r="A52" s="43" t="s">
        <v>53</v>
      </c>
      <c r="B52" s="26">
        <f>B16/$Y$16</f>
        <v>0.43240518110602649</v>
      </c>
      <c r="C52" s="26">
        <f t="shared" ref="C52:W52" si="15">C16/$Y$16</f>
        <v>0.10210967191499262</v>
      </c>
      <c r="D52" s="26">
        <f t="shared" si="15"/>
        <v>0</v>
      </c>
      <c r="E52" s="26">
        <f t="shared" si="15"/>
        <v>2.0941596215000389E-3</v>
      </c>
      <c r="F52" s="26">
        <f t="shared" si="15"/>
        <v>1.3495695338555805E-2</v>
      </c>
      <c r="G52" s="26">
        <f t="shared" si="15"/>
        <v>2.8697742961296827E-3</v>
      </c>
      <c r="H52" s="26">
        <f t="shared" si="15"/>
        <v>2.6719925540991233E-2</v>
      </c>
      <c r="I52" s="26">
        <f t="shared" si="15"/>
        <v>1.3573256806018769E-3</v>
      </c>
      <c r="J52" s="26">
        <f t="shared" si="15"/>
        <v>7.4071201427131006E-3</v>
      </c>
      <c r="K52" s="26">
        <f t="shared" si="15"/>
        <v>2.4431862250833786E-3</v>
      </c>
      <c r="L52" s="26">
        <f t="shared" si="15"/>
        <v>1.9351586132009619E-2</v>
      </c>
      <c r="M52" s="26">
        <f t="shared" si="15"/>
        <v>4.5412239199565642E-2</v>
      </c>
      <c r="N52" s="26">
        <f t="shared" si="15"/>
        <v>7.4459008764445819E-3</v>
      </c>
      <c r="O52" s="26">
        <f t="shared" si="15"/>
        <v>6.5927247343519745E-3</v>
      </c>
      <c r="P52" s="26">
        <f t="shared" si="15"/>
        <v>2.5866749398898624E-2</v>
      </c>
      <c r="Q52" s="26">
        <f t="shared" si="15"/>
        <v>5.9877452881408513E-2</v>
      </c>
      <c r="R52" s="26">
        <f t="shared" si="15"/>
        <v>3.7966338323121067E-2</v>
      </c>
      <c r="S52" s="26">
        <f t="shared" si="15"/>
        <v>3.5135344760722872E-2</v>
      </c>
      <c r="T52" s="26">
        <f t="shared" si="15"/>
        <v>1.5783758628713257E-2</v>
      </c>
      <c r="U52" s="26">
        <f t="shared" si="15"/>
        <v>0.11707903513534475</v>
      </c>
      <c r="V52" s="26">
        <f t="shared" si="15"/>
        <v>1.4038625610796558E-2</v>
      </c>
      <c r="W52" s="26">
        <f t="shared" si="15"/>
        <v>1.946792833320406E-2</v>
      </c>
      <c r="X52" s="52">
        <f>X16/Y16</f>
        <v>5.0802761188241683E-3</v>
      </c>
    </row>
    <row r="53" spans="1:24" x14ac:dyDescent="0.25">
      <c r="A53" s="43" t="s">
        <v>54</v>
      </c>
      <c r="B53" s="26">
        <f>B29/$Y$29</f>
        <v>0.71538342546320122</v>
      </c>
      <c r="C53" s="26">
        <f t="shared" ref="C53:W53" si="16">C29/$Y$29</f>
        <v>6.4268869785928287E-2</v>
      </c>
      <c r="D53" s="26">
        <f t="shared" si="16"/>
        <v>3.958795692678754E-3</v>
      </c>
      <c r="E53" s="26">
        <f t="shared" si="16"/>
        <v>2.2919343483929627E-3</v>
      </c>
      <c r="F53" s="26">
        <f t="shared" si="16"/>
        <v>3.3400365572999382E-3</v>
      </c>
      <c r="G53" s="26">
        <f t="shared" si="16"/>
        <v>5.0321533764991506E-3</v>
      </c>
      <c r="H53" s="26">
        <f t="shared" si="16"/>
        <v>1.1832189996937777E-2</v>
      </c>
      <c r="I53" s="26">
        <f t="shared" si="16"/>
        <v>9.8496352162342204E-3</v>
      </c>
      <c r="J53" s="26">
        <f t="shared" si="16"/>
        <v>9.2466607526762931E-3</v>
      </c>
      <c r="K53" s="26">
        <f t="shared" si="16"/>
        <v>5.7961314926301376E-3</v>
      </c>
      <c r="L53" s="26">
        <f t="shared" si="16"/>
        <v>7.1504563348623431E-3</v>
      </c>
      <c r="M53" s="26">
        <f t="shared" si="16"/>
        <v>2.9422628274135557E-2</v>
      </c>
      <c r="N53" s="26">
        <f t="shared" si="16"/>
        <v>5.2436679788990508E-3</v>
      </c>
      <c r="O53" s="26">
        <f t="shared" si="16"/>
        <v>1.2432007526131524E-2</v>
      </c>
      <c r="P53" s="26">
        <f t="shared" si="16"/>
        <v>9.2687592932255355E-3</v>
      </c>
      <c r="Q53" s="26">
        <f t="shared" si="16"/>
        <v>2.2010146387046469E-2</v>
      </c>
      <c r="R53" s="26">
        <f t="shared" si="16"/>
        <v>4.0857044541186952E-2</v>
      </c>
      <c r="S53" s="26">
        <f t="shared" si="16"/>
        <v>8.3027373777871793E-3</v>
      </c>
      <c r="T53" s="26">
        <f t="shared" si="16"/>
        <v>8.1164782503006985E-3</v>
      </c>
      <c r="U53" s="26">
        <f t="shared" si="16"/>
        <v>1.1128193633726162E-2</v>
      </c>
      <c r="V53" s="26">
        <f t="shared" si="16"/>
        <v>7.456678968187574E-3</v>
      </c>
      <c r="W53" s="26">
        <f t="shared" si="16"/>
        <v>7.611368752032277E-3</v>
      </c>
      <c r="X53" s="54">
        <f>X29/Y29</f>
        <v>0</v>
      </c>
    </row>
    <row r="54" spans="1:24" x14ac:dyDescent="0.25">
      <c r="A54" s="43" t="s">
        <v>67</v>
      </c>
      <c r="B54" s="26">
        <f>B32/$Y$32</f>
        <v>0.66105231716373025</v>
      </c>
      <c r="C54" s="26">
        <f t="shared" ref="C54:W54" si="17">C32/$Y$32</f>
        <v>4.4115511783911161E-2</v>
      </c>
      <c r="D54" s="26">
        <f t="shared" si="17"/>
        <v>3.1943712689121301E-3</v>
      </c>
      <c r="E54" s="26">
        <f t="shared" si="17"/>
        <v>3.2524507465287143E-3</v>
      </c>
      <c r="F54" s="26">
        <f t="shared" si="17"/>
        <v>9.2180428045750048E-3</v>
      </c>
      <c r="G54" s="26">
        <f t="shared" si="17"/>
        <v>7.9154030923173305E-3</v>
      </c>
      <c r="H54" s="26">
        <f t="shared" si="17"/>
        <v>1.2325294857062258E-2</v>
      </c>
      <c r="I54" s="26">
        <f t="shared" si="17"/>
        <v>2.4185953893191845E-3</v>
      </c>
      <c r="J54" s="26">
        <f t="shared" si="17"/>
        <v>2.2816937635086643E-3</v>
      </c>
      <c r="K54" s="26">
        <f t="shared" si="17"/>
        <v>6.8367842222950524E-3</v>
      </c>
      <c r="L54" s="26">
        <f t="shared" si="17"/>
        <v>8.6455450966401032E-3</v>
      </c>
      <c r="M54" s="26">
        <f t="shared" si="17"/>
        <v>1.9033474521777734E-2</v>
      </c>
      <c r="N54" s="26">
        <f t="shared" si="17"/>
        <v>1.991296375425743E-3</v>
      </c>
      <c r="O54" s="26">
        <f t="shared" si="17"/>
        <v>6.7787047446784682E-3</v>
      </c>
      <c r="P54" s="26">
        <f t="shared" si="17"/>
        <v>1.3798024468054216E-2</v>
      </c>
      <c r="Q54" s="26">
        <f t="shared" si="17"/>
        <v>2.2912353919742459E-2</v>
      </c>
      <c r="R54" s="26">
        <f t="shared" si="17"/>
        <v>2.5106928466826248E-2</v>
      </c>
      <c r="S54" s="26">
        <f t="shared" si="17"/>
        <v>3.2478873590016971E-2</v>
      </c>
      <c r="T54" s="26">
        <f t="shared" si="17"/>
        <v>5.8519222232824047E-2</v>
      </c>
      <c r="U54" s="26">
        <f t="shared" si="17"/>
        <v>2.4094686142651495E-2</v>
      </c>
      <c r="V54" s="26">
        <f t="shared" si="17"/>
        <v>1.8465125347958303E-2</v>
      </c>
      <c r="W54" s="26">
        <f t="shared" si="17"/>
        <v>6.4219308107480218E-3</v>
      </c>
      <c r="X54" s="51">
        <f>X32/Y32</f>
        <v>9.1433691904965388E-3</v>
      </c>
    </row>
    <row r="55" spans="1:24" x14ac:dyDescent="0.25">
      <c r="A55" s="43" t="s">
        <v>57</v>
      </c>
      <c r="B55" s="26">
        <f>B37/$Y$37</f>
        <v>0</v>
      </c>
      <c r="C55" s="26">
        <f t="shared" ref="C55:W55" si="18">C37/$Y$37</f>
        <v>0</v>
      </c>
      <c r="D55" s="26">
        <f t="shared" si="18"/>
        <v>0</v>
      </c>
      <c r="E55" s="26">
        <f t="shared" si="18"/>
        <v>0</v>
      </c>
      <c r="F55" s="26">
        <f t="shared" si="18"/>
        <v>0</v>
      </c>
      <c r="G55" s="26">
        <f t="shared" si="18"/>
        <v>0</v>
      </c>
      <c r="H55" s="26">
        <f t="shared" si="18"/>
        <v>0</v>
      </c>
      <c r="I55" s="26">
        <f t="shared" si="18"/>
        <v>0</v>
      </c>
      <c r="J55" s="26">
        <f t="shared" si="18"/>
        <v>0</v>
      </c>
      <c r="K55" s="26">
        <f t="shared" si="18"/>
        <v>0</v>
      </c>
      <c r="L55" s="26">
        <f t="shared" si="18"/>
        <v>0</v>
      </c>
      <c r="M55" s="26">
        <f t="shared" si="18"/>
        <v>0</v>
      </c>
      <c r="N55" s="26">
        <f t="shared" si="18"/>
        <v>0</v>
      </c>
      <c r="O55" s="26">
        <f t="shared" si="18"/>
        <v>0</v>
      </c>
      <c r="P55" s="26">
        <f t="shared" si="18"/>
        <v>0</v>
      </c>
      <c r="Q55" s="26">
        <f t="shared" si="18"/>
        <v>0</v>
      </c>
      <c r="R55" s="26">
        <f t="shared" si="18"/>
        <v>0</v>
      </c>
      <c r="S55" s="26">
        <f t="shared" si="18"/>
        <v>0</v>
      </c>
      <c r="T55" s="26">
        <f t="shared" si="18"/>
        <v>1</v>
      </c>
      <c r="U55" s="26">
        <f t="shared" si="18"/>
        <v>0</v>
      </c>
      <c r="V55" s="26">
        <f t="shared" si="18"/>
        <v>0</v>
      </c>
      <c r="W55" s="26">
        <f t="shared" si="18"/>
        <v>0</v>
      </c>
      <c r="X55" s="54">
        <f>X37/Y37</f>
        <v>0</v>
      </c>
    </row>
    <row r="56" spans="1:24" x14ac:dyDescent="0.25">
      <c r="A56" s="43" t="s">
        <v>58</v>
      </c>
      <c r="B56" s="26">
        <f>B39/$Y$39</f>
        <v>0</v>
      </c>
      <c r="C56" s="26">
        <f t="shared" ref="C56:W56" si="19">C39/$Y$39</f>
        <v>0</v>
      </c>
      <c r="D56" s="26">
        <f t="shared" si="19"/>
        <v>0</v>
      </c>
      <c r="E56" s="26">
        <f t="shared" si="19"/>
        <v>0</v>
      </c>
      <c r="F56" s="26">
        <f t="shared" si="19"/>
        <v>0</v>
      </c>
      <c r="G56" s="26">
        <f t="shared" si="19"/>
        <v>0</v>
      </c>
      <c r="H56" s="26">
        <f t="shared" si="19"/>
        <v>0</v>
      </c>
      <c r="I56" s="26">
        <f t="shared" si="19"/>
        <v>0</v>
      </c>
      <c r="J56" s="26">
        <f t="shared" si="19"/>
        <v>0</v>
      </c>
      <c r="K56" s="26">
        <f t="shared" si="19"/>
        <v>0</v>
      </c>
      <c r="L56" s="26">
        <f t="shared" si="19"/>
        <v>0</v>
      </c>
      <c r="M56" s="26">
        <f t="shared" si="19"/>
        <v>0</v>
      </c>
      <c r="N56" s="26">
        <f t="shared" si="19"/>
        <v>0</v>
      </c>
      <c r="O56" s="26">
        <f t="shared" si="19"/>
        <v>0</v>
      </c>
      <c r="P56" s="26">
        <f t="shared" si="19"/>
        <v>0</v>
      </c>
      <c r="Q56" s="26">
        <f t="shared" si="19"/>
        <v>0</v>
      </c>
      <c r="R56" s="26">
        <f t="shared" si="19"/>
        <v>0</v>
      </c>
      <c r="S56" s="26">
        <f t="shared" si="19"/>
        <v>0</v>
      </c>
      <c r="T56" s="26">
        <f t="shared" si="19"/>
        <v>0</v>
      </c>
      <c r="U56" s="26">
        <f t="shared" si="19"/>
        <v>0.12931034482758619</v>
      </c>
      <c r="V56" s="26">
        <f t="shared" si="19"/>
        <v>0.68965517241379304</v>
      </c>
      <c r="W56" s="26">
        <f t="shared" si="19"/>
        <v>0.18103448275862066</v>
      </c>
      <c r="X56" s="54">
        <f>X39/Y39</f>
        <v>0</v>
      </c>
    </row>
    <row r="57" spans="1:24" x14ac:dyDescent="0.25">
      <c r="A57" s="43" t="s">
        <v>59</v>
      </c>
      <c r="B57" s="26">
        <f>B41/$Y$41</f>
        <v>0.79324451871450885</v>
      </c>
      <c r="C57" s="26">
        <f t="shared" ref="C57:W57" si="20">C41/$Y$41</f>
        <v>3.7638418253931431E-2</v>
      </c>
      <c r="D57" s="26">
        <f t="shared" si="20"/>
        <v>2.0878140360106674E-3</v>
      </c>
      <c r="E57" s="26">
        <f t="shared" si="20"/>
        <v>2.0310799589451597E-3</v>
      </c>
      <c r="F57" s="26">
        <f t="shared" si="20"/>
        <v>5.3144357280271526E-3</v>
      </c>
      <c r="G57" s="26">
        <f t="shared" si="20"/>
        <v>3.9136197888460823E-3</v>
      </c>
      <c r="H57" s="26">
        <f t="shared" si="20"/>
        <v>7.7065507228437219E-3</v>
      </c>
      <c r="I57" s="26">
        <f t="shared" si="20"/>
        <v>5.5310567495499979E-3</v>
      </c>
      <c r="J57" s="26">
        <f t="shared" si="20"/>
        <v>3.9755115092811816E-3</v>
      </c>
      <c r="K57" s="26">
        <f t="shared" si="20"/>
        <v>3.8001516347150681E-3</v>
      </c>
      <c r="L57" s="26">
        <f t="shared" si="20"/>
        <v>5.0008510111559856E-3</v>
      </c>
      <c r="M57" s="26">
        <f t="shared" si="20"/>
        <v>1.5864911004863667E-2</v>
      </c>
      <c r="N57" s="26">
        <f t="shared" si="20"/>
        <v>2.558191111317418E-3</v>
      </c>
      <c r="O57" s="26">
        <f t="shared" si="20"/>
        <v>5.923037645638958E-3</v>
      </c>
      <c r="P57" s="26">
        <f t="shared" si="20"/>
        <v>8.0882163321934989E-3</v>
      </c>
      <c r="Q57" s="26">
        <f t="shared" si="20"/>
        <v>1.5184102080077578E-2</v>
      </c>
      <c r="R57" s="26">
        <f t="shared" si="20"/>
        <v>2.1289720301000077E-2</v>
      </c>
      <c r="S57" s="26">
        <f t="shared" si="20"/>
        <v>1.1926534527843544E-2</v>
      </c>
      <c r="T57" s="26">
        <f t="shared" si="20"/>
        <v>1.7728883318634061E-2</v>
      </c>
      <c r="U57" s="26">
        <f t="shared" si="20"/>
        <v>1.3001387406066427E-2</v>
      </c>
      <c r="V57" s="26">
        <f t="shared" si="20"/>
        <v>7.758127156539639E-3</v>
      </c>
      <c r="W57" s="26">
        <f t="shared" si="20"/>
        <v>4.8925405003945634E-3</v>
      </c>
      <c r="X57" s="52">
        <f>X41/Y41</f>
        <v>5.5403405076152636E-3</v>
      </c>
    </row>
  </sheetData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15"/>
  <sheetViews>
    <sheetView topLeftCell="AF1" zoomScaleNormal="100" workbookViewId="0">
      <selection activeCell="D1" sqref="D1"/>
    </sheetView>
  </sheetViews>
  <sheetFormatPr baseColWidth="10" defaultRowHeight="15" x14ac:dyDescent="0.25"/>
  <cols>
    <col min="1" max="1" width="29.42578125" customWidth="1"/>
    <col min="24" max="26" width="16.140625" customWidth="1"/>
    <col min="28" max="28" width="12.7109375" customWidth="1"/>
    <col min="29" max="29" width="14.28515625" customWidth="1"/>
    <col min="30" max="30" width="13.28515625" customWidth="1"/>
    <col min="32" max="32" width="14.42578125" customWidth="1"/>
    <col min="43" max="43" width="12.7109375" bestFit="1" customWidth="1"/>
    <col min="44" max="44" width="13.7109375" customWidth="1"/>
  </cols>
  <sheetData>
    <row r="1" spans="1:46" x14ac:dyDescent="0.25">
      <c r="C1" s="2" t="s">
        <v>0</v>
      </c>
      <c r="D1" s="176" t="s">
        <v>1</v>
      </c>
      <c r="E1" s="2" t="s">
        <v>216</v>
      </c>
      <c r="F1" t="s">
        <v>228</v>
      </c>
    </row>
    <row r="2" spans="1:46" x14ac:dyDescent="0.25">
      <c r="C2" s="2"/>
      <c r="D2" s="176"/>
      <c r="E2" s="2"/>
      <c r="F2" t="s">
        <v>320</v>
      </c>
    </row>
    <row r="3" spans="1:46" ht="18.75" x14ac:dyDescent="0.3">
      <c r="A3" s="39" t="s">
        <v>9</v>
      </c>
      <c r="D3" s="33"/>
      <c r="Z3" s="35"/>
    </row>
    <row r="4" spans="1:46" ht="52.5" customHeight="1" x14ac:dyDescent="0.25">
      <c r="A4" s="36" t="s">
        <v>2</v>
      </c>
      <c r="B4" s="37" t="s">
        <v>88</v>
      </c>
      <c r="C4" s="37">
        <v>2000</v>
      </c>
      <c r="D4" s="37">
        <v>2001</v>
      </c>
      <c r="E4" s="37">
        <v>2002</v>
      </c>
      <c r="F4" s="37">
        <v>2003</v>
      </c>
      <c r="G4" s="37">
        <v>2004</v>
      </c>
      <c r="H4" s="37">
        <v>2005</v>
      </c>
      <c r="I4" s="37">
        <v>2006</v>
      </c>
      <c r="J4" s="37">
        <v>2007</v>
      </c>
      <c r="K4" s="37">
        <v>2008</v>
      </c>
      <c r="L4" s="37">
        <v>2009</v>
      </c>
      <c r="M4" s="37">
        <v>2010</v>
      </c>
      <c r="N4" s="37">
        <v>2011</v>
      </c>
      <c r="O4" s="37">
        <v>2012</v>
      </c>
      <c r="P4" s="37">
        <v>2013</v>
      </c>
      <c r="Q4" s="37">
        <v>2014</v>
      </c>
      <c r="R4" s="37">
        <v>2015</v>
      </c>
      <c r="S4" s="37">
        <v>2016</v>
      </c>
      <c r="T4" s="37">
        <v>2017</v>
      </c>
      <c r="U4" s="37">
        <v>2018</v>
      </c>
      <c r="V4" s="37">
        <v>2019</v>
      </c>
      <c r="W4" s="37">
        <v>2020</v>
      </c>
      <c r="X4" s="36" t="s">
        <v>89</v>
      </c>
      <c r="Y4" s="36" t="s">
        <v>90</v>
      </c>
      <c r="Z4" s="150" t="s">
        <v>91</v>
      </c>
      <c r="AB4" s="196" t="s">
        <v>250</v>
      </c>
      <c r="AC4" s="196" t="s">
        <v>251</v>
      </c>
      <c r="AD4" s="196" t="s">
        <v>252</v>
      </c>
      <c r="AE4" s="196" t="s">
        <v>103</v>
      </c>
      <c r="AF4" s="196" t="s">
        <v>254</v>
      </c>
      <c r="AR4" s="251" t="s">
        <v>291</v>
      </c>
      <c r="AS4" s="251" t="s">
        <v>103</v>
      </c>
      <c r="AT4" s="251" t="s">
        <v>292</v>
      </c>
    </row>
    <row r="5" spans="1:46" x14ac:dyDescent="0.25">
      <c r="A5" s="44" t="s">
        <v>49</v>
      </c>
      <c r="B5" s="45">
        <f t="shared" ref="B5:Y5" si="0">SUM(B6:B7)</f>
        <v>0</v>
      </c>
      <c r="C5" s="45">
        <f t="shared" si="0"/>
        <v>0</v>
      </c>
      <c r="D5" s="45">
        <f t="shared" si="0"/>
        <v>0</v>
      </c>
      <c r="E5" s="45">
        <f t="shared" si="0"/>
        <v>0</v>
      </c>
      <c r="F5" s="45">
        <f t="shared" si="0"/>
        <v>0</v>
      </c>
      <c r="G5" s="45">
        <f t="shared" si="0"/>
        <v>0.03</v>
      </c>
      <c r="H5" s="45">
        <f t="shared" si="0"/>
        <v>0</v>
      </c>
      <c r="I5" s="45">
        <f t="shared" si="0"/>
        <v>0</v>
      </c>
      <c r="J5" s="45">
        <f t="shared" si="0"/>
        <v>0</v>
      </c>
      <c r="K5" s="45">
        <f t="shared" si="0"/>
        <v>0</v>
      </c>
      <c r="L5" s="45">
        <f t="shared" si="0"/>
        <v>0</v>
      </c>
      <c r="M5" s="45">
        <f t="shared" si="0"/>
        <v>0</v>
      </c>
      <c r="N5" s="45">
        <f t="shared" si="0"/>
        <v>0</v>
      </c>
      <c r="O5" s="45">
        <f t="shared" si="0"/>
        <v>0</v>
      </c>
      <c r="P5" s="45">
        <f t="shared" si="0"/>
        <v>0</v>
      </c>
      <c r="Q5" s="45">
        <f t="shared" si="0"/>
        <v>0</v>
      </c>
      <c r="R5" s="45">
        <f t="shared" si="0"/>
        <v>0</v>
      </c>
      <c r="S5" s="45">
        <f t="shared" si="0"/>
        <v>0</v>
      </c>
      <c r="T5" s="45">
        <f t="shared" si="0"/>
        <v>0</v>
      </c>
      <c r="U5" s="45">
        <f t="shared" si="0"/>
        <v>0</v>
      </c>
      <c r="V5" s="45">
        <f t="shared" si="0"/>
        <v>0</v>
      </c>
      <c r="W5" s="45">
        <f t="shared" si="0"/>
        <v>0.12</v>
      </c>
      <c r="X5" s="45">
        <f t="shared" si="0"/>
        <v>0</v>
      </c>
      <c r="Y5" s="45">
        <f t="shared" si="0"/>
        <v>0.15</v>
      </c>
      <c r="Z5" s="46">
        <f t="shared" ref="Z5:Z39" si="1">Y5/$Y$50</f>
        <v>4.5303807331968174E-5</v>
      </c>
      <c r="AB5" s="45">
        <f>SUM(B5:S5)</f>
        <v>0.03</v>
      </c>
      <c r="AC5" s="45">
        <f>SUM(T5:W5)</f>
        <v>0.12</v>
      </c>
      <c r="AD5" s="45">
        <f>X5</f>
        <v>0</v>
      </c>
      <c r="AE5" s="45">
        <f>SUM(AB5:AD5)</f>
        <v>0.15</v>
      </c>
      <c r="AF5" s="46">
        <f>AC5/AE5</f>
        <v>0.8</v>
      </c>
      <c r="AQ5" s="44" t="s">
        <v>51</v>
      </c>
      <c r="AR5" s="162">
        <f>AC29</f>
        <v>90.97</v>
      </c>
      <c r="AS5" s="162">
        <f>AE29</f>
        <v>2837.7999999999988</v>
      </c>
      <c r="AT5" s="249">
        <f>AR5/AS5</f>
        <v>3.2056522658397361E-2</v>
      </c>
    </row>
    <row r="6" spans="1:46" x14ac:dyDescent="0.25">
      <c r="A6" s="13" t="s">
        <v>13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>
        <v>0.12</v>
      </c>
      <c r="X6" s="109"/>
      <c r="Y6" s="109">
        <v>0.12</v>
      </c>
      <c r="Z6" s="26">
        <f t="shared" si="1"/>
        <v>3.6243045865574541E-5</v>
      </c>
      <c r="AB6" s="109">
        <f t="shared" ref="AB6:AB50" si="2">SUM(B6:S6)</f>
        <v>0</v>
      </c>
      <c r="AC6" s="109">
        <f t="shared" ref="AC6:AC50" si="3">SUM(T6:W6)</f>
        <v>0.12</v>
      </c>
      <c r="AD6" s="109">
        <f t="shared" ref="AD6:AD50" si="4">X6</f>
        <v>0</v>
      </c>
      <c r="AE6" s="109">
        <f t="shared" ref="AE6:AE50" si="5">SUM(AB6:AD6)</f>
        <v>0.12</v>
      </c>
      <c r="AF6" s="26">
        <f t="shared" ref="AF6:AF49" si="6">AC6/AE6</f>
        <v>1</v>
      </c>
      <c r="AQ6" s="44" t="s">
        <v>60</v>
      </c>
      <c r="AR6" s="162">
        <f>AC14</f>
        <v>5.68</v>
      </c>
      <c r="AS6" s="162">
        <f>AE14</f>
        <v>430.90999999999997</v>
      </c>
      <c r="AT6" s="249">
        <f t="shared" ref="AT6" si="7">AR6/AS6</f>
        <v>1.3181406790281033E-2</v>
      </c>
    </row>
    <row r="7" spans="1:46" x14ac:dyDescent="0.25">
      <c r="A7" s="13" t="s">
        <v>17</v>
      </c>
      <c r="B7" s="109"/>
      <c r="C7" s="109"/>
      <c r="D7" s="109"/>
      <c r="E7" s="109"/>
      <c r="F7" s="109"/>
      <c r="G7" s="109">
        <v>0.03</v>
      </c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>
        <v>0.03</v>
      </c>
      <c r="Z7" s="26">
        <f t="shared" si="1"/>
        <v>9.0607614663936352E-6</v>
      </c>
      <c r="AB7" s="109">
        <f t="shared" si="2"/>
        <v>0.03</v>
      </c>
      <c r="AC7" s="109">
        <f t="shared" si="3"/>
        <v>0</v>
      </c>
      <c r="AD7" s="109">
        <f t="shared" si="4"/>
        <v>0</v>
      </c>
      <c r="AE7" s="109">
        <f t="shared" si="5"/>
        <v>0.03</v>
      </c>
      <c r="AF7" s="26">
        <f t="shared" si="6"/>
        <v>0</v>
      </c>
      <c r="AQ7" s="44"/>
      <c r="AR7" s="162"/>
      <c r="AS7" s="162"/>
      <c r="AT7" s="249"/>
    </row>
    <row r="8" spans="1:46" x14ac:dyDescent="0.25">
      <c r="A8" s="44" t="s">
        <v>50</v>
      </c>
      <c r="B8" s="45">
        <f>SUM(B9:B11)</f>
        <v>17.860000000000007</v>
      </c>
      <c r="C8" s="45">
        <f t="shared" ref="C8:Y8" si="8">SUM(C9:C11)</f>
        <v>0.7</v>
      </c>
      <c r="D8" s="45">
        <f t="shared" si="8"/>
        <v>0</v>
      </c>
      <c r="E8" s="45">
        <f t="shared" si="8"/>
        <v>0</v>
      </c>
      <c r="F8" s="45">
        <f t="shared" si="8"/>
        <v>0.22</v>
      </c>
      <c r="G8" s="45">
        <f t="shared" si="8"/>
        <v>0</v>
      </c>
      <c r="H8" s="45">
        <f t="shared" si="8"/>
        <v>0.16</v>
      </c>
      <c r="I8" s="45">
        <f t="shared" si="8"/>
        <v>0</v>
      </c>
      <c r="J8" s="45">
        <f t="shared" si="8"/>
        <v>0</v>
      </c>
      <c r="K8" s="45">
        <f t="shared" si="8"/>
        <v>0</v>
      </c>
      <c r="L8" s="45">
        <f t="shared" si="8"/>
        <v>0.31</v>
      </c>
      <c r="M8" s="45">
        <f t="shared" si="8"/>
        <v>7.0000000000000007E-2</v>
      </c>
      <c r="N8" s="45">
        <f t="shared" si="8"/>
        <v>0</v>
      </c>
      <c r="O8" s="45">
        <f t="shared" si="8"/>
        <v>0.28999999999999998</v>
      </c>
      <c r="P8" s="45">
        <f t="shared" si="8"/>
        <v>0</v>
      </c>
      <c r="Q8" s="45">
        <f t="shared" si="8"/>
        <v>0</v>
      </c>
      <c r="R8" s="45">
        <f t="shared" si="8"/>
        <v>1.74</v>
      </c>
      <c r="S8" s="45">
        <f t="shared" si="8"/>
        <v>0.01</v>
      </c>
      <c r="T8" s="45">
        <f t="shared" si="8"/>
        <v>1.91</v>
      </c>
      <c r="U8" s="45">
        <f t="shared" si="8"/>
        <v>0</v>
      </c>
      <c r="V8" s="45">
        <f t="shared" si="8"/>
        <v>0</v>
      </c>
      <c r="W8" s="45">
        <f t="shared" si="8"/>
        <v>0</v>
      </c>
      <c r="X8" s="45">
        <f t="shared" si="8"/>
        <v>0.02</v>
      </c>
      <c r="Y8" s="45">
        <f t="shared" si="8"/>
        <v>23.290000000000003</v>
      </c>
      <c r="Z8" s="46">
        <f t="shared" si="1"/>
        <v>7.034171151743593E-3</v>
      </c>
      <c r="AB8" s="45">
        <f t="shared" si="2"/>
        <v>21.360000000000003</v>
      </c>
      <c r="AC8" s="45">
        <f t="shared" si="3"/>
        <v>1.91</v>
      </c>
      <c r="AD8" s="45">
        <f t="shared" si="4"/>
        <v>0.02</v>
      </c>
      <c r="AE8" s="45">
        <f t="shared" si="5"/>
        <v>23.290000000000003</v>
      </c>
      <c r="AF8" s="46">
        <f t="shared" si="6"/>
        <v>8.2009446114212098E-2</v>
      </c>
      <c r="AQ8" s="44"/>
      <c r="AR8" s="162"/>
      <c r="AS8" s="162"/>
      <c r="AT8" s="249"/>
    </row>
    <row r="9" spans="1:46" x14ac:dyDescent="0.25">
      <c r="A9" s="13" t="s">
        <v>19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>
        <v>0.01</v>
      </c>
      <c r="T9" s="109">
        <v>1.91</v>
      </c>
      <c r="U9" s="109"/>
      <c r="V9" s="109"/>
      <c r="W9" s="109"/>
      <c r="X9" s="109"/>
      <c r="Y9" s="109">
        <v>1.92</v>
      </c>
      <c r="Z9" s="26">
        <f t="shared" si="1"/>
        <v>5.7988873384919265E-4</v>
      </c>
      <c r="AB9" s="109">
        <f t="shared" si="2"/>
        <v>0.01</v>
      </c>
      <c r="AC9" s="109">
        <f t="shared" si="3"/>
        <v>1.91</v>
      </c>
      <c r="AD9" s="109">
        <f t="shared" si="4"/>
        <v>0</v>
      </c>
      <c r="AE9" s="109">
        <f t="shared" si="5"/>
        <v>1.92</v>
      </c>
      <c r="AF9" s="26">
        <f t="shared" si="6"/>
        <v>0.99479166666666663</v>
      </c>
    </row>
    <row r="10" spans="1:46" x14ac:dyDescent="0.25">
      <c r="A10" s="13" t="s">
        <v>20</v>
      </c>
      <c r="B10" s="109">
        <v>17.340000000000007</v>
      </c>
      <c r="C10" s="109">
        <v>0.7</v>
      </c>
      <c r="D10" s="109"/>
      <c r="E10" s="109"/>
      <c r="F10" s="109">
        <v>0.22</v>
      </c>
      <c r="G10" s="109"/>
      <c r="H10" s="109"/>
      <c r="I10" s="109"/>
      <c r="J10" s="109"/>
      <c r="K10" s="109"/>
      <c r="L10" s="109"/>
      <c r="M10" s="109">
        <v>7.0000000000000007E-2</v>
      </c>
      <c r="N10" s="109"/>
      <c r="O10" s="109">
        <v>0.28999999999999998</v>
      </c>
      <c r="P10" s="109"/>
      <c r="Q10" s="109"/>
      <c r="R10" s="109">
        <v>1.74</v>
      </c>
      <c r="S10" s="109"/>
      <c r="T10" s="109"/>
      <c r="U10" s="109"/>
      <c r="V10" s="109"/>
      <c r="W10" s="109"/>
      <c r="X10" s="109"/>
      <c r="Y10" s="109">
        <v>20.360000000000003</v>
      </c>
      <c r="Z10" s="26">
        <f t="shared" si="1"/>
        <v>6.1492367818591484E-3</v>
      </c>
      <c r="AB10" s="109">
        <f t="shared" si="2"/>
        <v>20.360000000000003</v>
      </c>
      <c r="AC10" s="109">
        <f t="shared" si="3"/>
        <v>0</v>
      </c>
      <c r="AD10" s="109">
        <f t="shared" si="4"/>
        <v>0</v>
      </c>
      <c r="AE10" s="109">
        <f t="shared" si="5"/>
        <v>20.360000000000003</v>
      </c>
      <c r="AF10" s="26">
        <f t="shared" si="6"/>
        <v>0</v>
      </c>
    </row>
    <row r="11" spans="1:46" x14ac:dyDescent="0.25">
      <c r="A11" s="13" t="s">
        <v>21</v>
      </c>
      <c r="B11" s="109">
        <v>0.52</v>
      </c>
      <c r="C11" s="109"/>
      <c r="D11" s="109"/>
      <c r="E11" s="109"/>
      <c r="F11" s="109"/>
      <c r="G11" s="109"/>
      <c r="H11" s="109">
        <v>0.16</v>
      </c>
      <c r="I11" s="109"/>
      <c r="J11" s="109"/>
      <c r="K11" s="109"/>
      <c r="L11" s="109">
        <v>0.31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>
        <v>0.02</v>
      </c>
      <c r="Y11" s="109">
        <v>1.01</v>
      </c>
      <c r="Z11" s="26">
        <f t="shared" si="1"/>
        <v>3.050456360352524E-4</v>
      </c>
      <c r="AB11" s="109">
        <f t="shared" si="2"/>
        <v>0.99</v>
      </c>
      <c r="AC11" s="109">
        <f t="shared" si="3"/>
        <v>0</v>
      </c>
      <c r="AD11" s="109">
        <f t="shared" si="4"/>
        <v>0.02</v>
      </c>
      <c r="AE11" s="109">
        <f t="shared" si="5"/>
        <v>1.01</v>
      </c>
      <c r="AF11" s="26">
        <f t="shared" si="6"/>
        <v>0</v>
      </c>
    </row>
    <row r="12" spans="1:46" x14ac:dyDescent="0.25">
      <c r="A12" s="44" t="s">
        <v>63</v>
      </c>
      <c r="B12" s="45">
        <f>B13</f>
        <v>0.01</v>
      </c>
      <c r="C12" s="45">
        <f t="shared" ref="C12:Y12" si="9">C13</f>
        <v>0</v>
      </c>
      <c r="D12" s="45">
        <f t="shared" si="9"/>
        <v>0</v>
      </c>
      <c r="E12" s="45">
        <f t="shared" si="9"/>
        <v>0</v>
      </c>
      <c r="F12" s="45">
        <f t="shared" si="9"/>
        <v>0</v>
      </c>
      <c r="G12" s="45">
        <f t="shared" si="9"/>
        <v>0</v>
      </c>
      <c r="H12" s="45">
        <f t="shared" si="9"/>
        <v>0</v>
      </c>
      <c r="I12" s="45">
        <f t="shared" si="9"/>
        <v>0</v>
      </c>
      <c r="J12" s="45">
        <f t="shared" si="9"/>
        <v>0</v>
      </c>
      <c r="K12" s="45">
        <f t="shared" si="9"/>
        <v>0</v>
      </c>
      <c r="L12" s="45">
        <f t="shared" si="9"/>
        <v>0</v>
      </c>
      <c r="M12" s="45">
        <f t="shared" si="9"/>
        <v>0</v>
      </c>
      <c r="N12" s="45">
        <f t="shared" si="9"/>
        <v>0</v>
      </c>
      <c r="O12" s="45">
        <f t="shared" si="9"/>
        <v>0</v>
      </c>
      <c r="P12" s="45">
        <f t="shared" si="9"/>
        <v>0.21</v>
      </c>
      <c r="Q12" s="45">
        <f t="shared" si="9"/>
        <v>0</v>
      </c>
      <c r="R12" s="45">
        <f t="shared" si="9"/>
        <v>0</v>
      </c>
      <c r="S12" s="45">
        <f t="shared" si="9"/>
        <v>0</v>
      </c>
      <c r="T12" s="45">
        <f t="shared" si="9"/>
        <v>0.23</v>
      </c>
      <c r="U12" s="45">
        <f t="shared" si="9"/>
        <v>0</v>
      </c>
      <c r="V12" s="45">
        <f t="shared" si="9"/>
        <v>0</v>
      </c>
      <c r="W12" s="45">
        <f t="shared" si="9"/>
        <v>0</v>
      </c>
      <c r="X12" s="45">
        <f t="shared" si="9"/>
        <v>0</v>
      </c>
      <c r="Y12" s="45">
        <f t="shared" si="9"/>
        <v>0.45</v>
      </c>
      <c r="Z12" s="46">
        <f t="shared" si="1"/>
        <v>1.3591142199590454E-4</v>
      </c>
      <c r="AB12" s="45">
        <f t="shared" si="2"/>
        <v>0.22</v>
      </c>
      <c r="AC12" s="45">
        <f t="shared" si="3"/>
        <v>0.23</v>
      </c>
      <c r="AD12" s="45">
        <f t="shared" si="4"/>
        <v>0</v>
      </c>
      <c r="AE12" s="45">
        <f t="shared" si="5"/>
        <v>0.45</v>
      </c>
      <c r="AF12" s="46">
        <f t="shared" si="6"/>
        <v>0.51111111111111107</v>
      </c>
    </row>
    <row r="13" spans="1:46" x14ac:dyDescent="0.25">
      <c r="A13" s="13" t="s">
        <v>64</v>
      </c>
      <c r="B13" s="14">
        <v>0.01</v>
      </c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>
        <v>0.21</v>
      </c>
      <c r="Q13" s="14"/>
      <c r="R13" s="14"/>
      <c r="S13" s="14"/>
      <c r="T13" s="14">
        <v>0.23</v>
      </c>
      <c r="U13" s="14"/>
      <c r="V13" s="14"/>
      <c r="W13" s="14"/>
      <c r="X13" s="14"/>
      <c r="Y13" s="109">
        <v>0.45</v>
      </c>
      <c r="Z13" s="26">
        <f t="shared" si="1"/>
        <v>1.3591142199590454E-4</v>
      </c>
      <c r="AB13" s="14">
        <f t="shared" si="2"/>
        <v>0.22</v>
      </c>
      <c r="AC13" s="14">
        <f t="shared" si="3"/>
        <v>0.23</v>
      </c>
      <c r="AD13" s="14">
        <f t="shared" si="4"/>
        <v>0</v>
      </c>
      <c r="AE13" s="109">
        <f t="shared" si="5"/>
        <v>0.45</v>
      </c>
      <c r="AF13" s="26">
        <f t="shared" si="6"/>
        <v>0.51111111111111107</v>
      </c>
    </row>
    <row r="14" spans="1:46" x14ac:dyDescent="0.25">
      <c r="A14" s="44" t="s">
        <v>60</v>
      </c>
      <c r="B14" s="45">
        <f>SUM(B15:B17)</f>
        <v>395.82000000000005</v>
      </c>
      <c r="C14" s="45">
        <f t="shared" ref="C14:Y14" si="10">SUM(C15:C17)</f>
        <v>6.0100000000000007</v>
      </c>
      <c r="D14" s="45">
        <f t="shared" si="10"/>
        <v>0</v>
      </c>
      <c r="E14" s="45">
        <f t="shared" si="10"/>
        <v>0</v>
      </c>
      <c r="F14" s="45">
        <f t="shared" si="10"/>
        <v>0</v>
      </c>
      <c r="G14" s="45">
        <f t="shared" si="10"/>
        <v>0</v>
      </c>
      <c r="H14" s="45">
        <f t="shared" si="10"/>
        <v>0</v>
      </c>
      <c r="I14" s="45">
        <f t="shared" si="10"/>
        <v>0</v>
      </c>
      <c r="J14" s="45">
        <f t="shared" si="10"/>
        <v>0.24</v>
      </c>
      <c r="K14" s="45">
        <f t="shared" si="10"/>
        <v>0</v>
      </c>
      <c r="L14" s="45">
        <f t="shared" si="10"/>
        <v>0</v>
      </c>
      <c r="M14" s="45">
        <f t="shared" si="10"/>
        <v>1.02</v>
      </c>
      <c r="N14" s="45">
        <f t="shared" si="10"/>
        <v>0</v>
      </c>
      <c r="O14" s="45">
        <f t="shared" si="10"/>
        <v>6.7799999999999994</v>
      </c>
      <c r="P14" s="45">
        <f t="shared" si="10"/>
        <v>0</v>
      </c>
      <c r="Q14" s="45">
        <f t="shared" si="10"/>
        <v>3.37</v>
      </c>
      <c r="R14" s="45">
        <f t="shared" si="10"/>
        <v>2.4</v>
      </c>
      <c r="S14" s="45">
        <f t="shared" si="10"/>
        <v>0</v>
      </c>
      <c r="T14" s="45">
        <f t="shared" si="10"/>
        <v>1.19</v>
      </c>
      <c r="U14" s="45">
        <f t="shared" si="10"/>
        <v>2.92</v>
      </c>
      <c r="V14" s="45">
        <f t="shared" si="10"/>
        <v>0.38</v>
      </c>
      <c r="W14" s="45">
        <f t="shared" si="10"/>
        <v>1.19</v>
      </c>
      <c r="X14" s="45">
        <f t="shared" si="10"/>
        <v>9.5900000000000016</v>
      </c>
      <c r="Y14" s="45">
        <f t="shared" si="10"/>
        <v>430.91000000000008</v>
      </c>
      <c r="Z14" s="46">
        <f t="shared" si="1"/>
        <v>0.13014575744945608</v>
      </c>
      <c r="AB14" s="45">
        <f t="shared" si="2"/>
        <v>415.64</v>
      </c>
      <c r="AC14" s="45">
        <f t="shared" si="3"/>
        <v>5.68</v>
      </c>
      <c r="AD14" s="45">
        <f t="shared" si="4"/>
        <v>9.5900000000000016</v>
      </c>
      <c r="AE14" s="45">
        <f t="shared" si="5"/>
        <v>430.90999999999997</v>
      </c>
      <c r="AF14" s="46">
        <f t="shared" si="6"/>
        <v>1.3181406790281033E-2</v>
      </c>
    </row>
    <row r="15" spans="1:46" x14ac:dyDescent="0.25">
      <c r="A15" s="13" t="s">
        <v>22</v>
      </c>
      <c r="B15" s="109">
        <v>0.15</v>
      </c>
      <c r="C15" s="109">
        <v>0.04</v>
      </c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>
        <v>0.19</v>
      </c>
      <c r="Z15" s="26">
        <f t="shared" si="1"/>
        <v>5.7384822620493023E-5</v>
      </c>
      <c r="AB15" s="109">
        <f t="shared" si="2"/>
        <v>0.19</v>
      </c>
      <c r="AC15" s="109">
        <f t="shared" si="3"/>
        <v>0</v>
      </c>
      <c r="AD15" s="109">
        <f t="shared" si="4"/>
        <v>0</v>
      </c>
      <c r="AE15" s="109">
        <f t="shared" si="5"/>
        <v>0.19</v>
      </c>
      <c r="AF15" s="26">
        <f t="shared" si="6"/>
        <v>0</v>
      </c>
    </row>
    <row r="16" spans="1:46" x14ac:dyDescent="0.25">
      <c r="A16" s="13" t="s">
        <v>23</v>
      </c>
      <c r="B16" s="109">
        <v>394.71000000000009</v>
      </c>
      <c r="C16" s="109">
        <v>5.9700000000000006</v>
      </c>
      <c r="D16" s="109"/>
      <c r="E16" s="109"/>
      <c r="F16" s="109"/>
      <c r="G16" s="109"/>
      <c r="H16" s="109"/>
      <c r="I16" s="109"/>
      <c r="J16" s="109">
        <v>0.24</v>
      </c>
      <c r="K16" s="109"/>
      <c r="L16" s="109"/>
      <c r="M16" s="109">
        <v>1.02</v>
      </c>
      <c r="N16" s="109"/>
      <c r="O16" s="109">
        <v>0.13</v>
      </c>
      <c r="P16" s="109"/>
      <c r="Q16" s="109">
        <v>3.37</v>
      </c>
      <c r="R16" s="109">
        <v>2.4</v>
      </c>
      <c r="S16" s="109"/>
      <c r="T16" s="109">
        <v>1</v>
      </c>
      <c r="U16" s="109">
        <v>2.92</v>
      </c>
      <c r="V16" s="109">
        <v>0.38</v>
      </c>
      <c r="W16" s="109">
        <v>1.19</v>
      </c>
      <c r="X16" s="109">
        <v>9.4400000000000013</v>
      </c>
      <c r="Y16" s="109">
        <v>422.7700000000001</v>
      </c>
      <c r="Z16" s="26">
        <f t="shared" si="1"/>
        <v>0.12768727083824127</v>
      </c>
      <c r="AB16" s="109">
        <f>SUM(B16:S16)</f>
        <v>407.84000000000009</v>
      </c>
      <c r="AC16" s="109">
        <f t="shared" si="3"/>
        <v>5.49</v>
      </c>
      <c r="AD16" s="109">
        <f t="shared" si="4"/>
        <v>9.4400000000000013</v>
      </c>
      <c r="AE16" s="109">
        <f t="shared" si="5"/>
        <v>422.7700000000001</v>
      </c>
      <c r="AF16" s="26">
        <f t="shared" si="6"/>
        <v>1.2985784232561437E-2</v>
      </c>
    </row>
    <row r="17" spans="1:32" x14ac:dyDescent="0.25">
      <c r="A17" s="13" t="s">
        <v>24</v>
      </c>
      <c r="B17" s="109">
        <v>0.96</v>
      </c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>
        <v>6.6499999999999995</v>
      </c>
      <c r="P17" s="109"/>
      <c r="Q17" s="109"/>
      <c r="R17" s="109"/>
      <c r="S17" s="109"/>
      <c r="T17" s="109">
        <v>0.19</v>
      </c>
      <c r="U17" s="109"/>
      <c r="V17" s="109"/>
      <c r="W17" s="109"/>
      <c r="X17" s="109">
        <v>0.15000000000000002</v>
      </c>
      <c r="Y17" s="109">
        <v>7.95</v>
      </c>
      <c r="Z17" s="26">
        <f t="shared" si="1"/>
        <v>2.4011017885943137E-3</v>
      </c>
      <c r="AB17" s="109">
        <f t="shared" si="2"/>
        <v>7.6099999999999994</v>
      </c>
      <c r="AC17" s="109">
        <f t="shared" si="3"/>
        <v>0.19</v>
      </c>
      <c r="AD17" s="109">
        <f t="shared" si="4"/>
        <v>0.15000000000000002</v>
      </c>
      <c r="AE17" s="109">
        <f t="shared" si="5"/>
        <v>7.95</v>
      </c>
      <c r="AF17" s="26">
        <f t="shared" si="6"/>
        <v>2.3899371069182388E-2</v>
      </c>
    </row>
    <row r="18" spans="1:32" x14ac:dyDescent="0.25">
      <c r="A18" s="44" t="s">
        <v>53</v>
      </c>
      <c r="B18" s="45">
        <f t="shared" ref="B18:Y18" si="11">SUM(B19:B21)</f>
        <v>0</v>
      </c>
      <c r="C18" s="45">
        <f t="shared" si="11"/>
        <v>0.12</v>
      </c>
      <c r="D18" s="45">
        <f t="shared" si="11"/>
        <v>0</v>
      </c>
      <c r="E18" s="45">
        <f t="shared" si="11"/>
        <v>0.09</v>
      </c>
      <c r="F18" s="45">
        <f t="shared" si="11"/>
        <v>0</v>
      </c>
      <c r="G18" s="45">
        <f t="shared" si="11"/>
        <v>0</v>
      </c>
      <c r="H18" s="45">
        <f t="shared" si="11"/>
        <v>0</v>
      </c>
      <c r="I18" s="45">
        <f t="shared" si="11"/>
        <v>0</v>
      </c>
      <c r="J18" s="45">
        <f t="shared" si="11"/>
        <v>0.8</v>
      </c>
      <c r="K18" s="45">
        <f t="shared" si="11"/>
        <v>0</v>
      </c>
      <c r="L18" s="45">
        <f t="shared" si="11"/>
        <v>0</v>
      </c>
      <c r="M18" s="45">
        <f t="shared" si="11"/>
        <v>0</v>
      </c>
      <c r="N18" s="45">
        <f t="shared" si="11"/>
        <v>0</v>
      </c>
      <c r="O18" s="45">
        <f t="shared" si="11"/>
        <v>0</v>
      </c>
      <c r="P18" s="45">
        <f t="shared" si="11"/>
        <v>0</v>
      </c>
      <c r="Q18" s="45">
        <f t="shared" si="11"/>
        <v>0</v>
      </c>
      <c r="R18" s="45">
        <f t="shared" si="11"/>
        <v>0</v>
      </c>
      <c r="S18" s="45">
        <f t="shared" si="11"/>
        <v>0</v>
      </c>
      <c r="T18" s="45">
        <f t="shared" si="11"/>
        <v>0</v>
      </c>
      <c r="U18" s="45">
        <f t="shared" si="11"/>
        <v>0</v>
      </c>
      <c r="V18" s="45">
        <f t="shared" si="11"/>
        <v>0</v>
      </c>
      <c r="W18" s="45">
        <f t="shared" si="11"/>
        <v>2.16</v>
      </c>
      <c r="X18" s="45">
        <f t="shared" si="11"/>
        <v>1.05</v>
      </c>
      <c r="Y18" s="45">
        <f t="shared" si="11"/>
        <v>4.22</v>
      </c>
      <c r="Z18" s="46">
        <f t="shared" si="1"/>
        <v>1.2745471129393714E-3</v>
      </c>
      <c r="AB18" s="45">
        <f t="shared" si="2"/>
        <v>1.01</v>
      </c>
      <c r="AC18" s="45">
        <f t="shared" si="3"/>
        <v>2.16</v>
      </c>
      <c r="AD18" s="45">
        <f t="shared" si="4"/>
        <v>1.05</v>
      </c>
      <c r="AE18" s="45">
        <f t="shared" si="5"/>
        <v>4.22</v>
      </c>
      <c r="AF18" s="46">
        <f t="shared" si="6"/>
        <v>0.51184834123222755</v>
      </c>
    </row>
    <row r="19" spans="1:32" x14ac:dyDescent="0.25">
      <c r="A19" s="13" t="s">
        <v>35</v>
      </c>
      <c r="B19" s="109"/>
      <c r="C19" s="109">
        <v>0.12</v>
      </c>
      <c r="D19" s="109"/>
      <c r="E19" s="109">
        <v>0.09</v>
      </c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>
        <v>2.16</v>
      </c>
      <c r="X19" s="109"/>
      <c r="Y19" s="109">
        <v>2.37</v>
      </c>
      <c r="Z19" s="26">
        <f t="shared" si="1"/>
        <v>7.158001558450973E-4</v>
      </c>
      <c r="AB19" s="109">
        <f t="shared" si="2"/>
        <v>0.21</v>
      </c>
      <c r="AC19" s="109">
        <f t="shared" si="3"/>
        <v>2.16</v>
      </c>
      <c r="AD19" s="109">
        <f t="shared" si="4"/>
        <v>0</v>
      </c>
      <c r="AE19" s="109">
        <f t="shared" si="5"/>
        <v>2.37</v>
      </c>
      <c r="AF19" s="26">
        <f t="shared" si="6"/>
        <v>0.91139240506329111</v>
      </c>
    </row>
    <row r="20" spans="1:32" x14ac:dyDescent="0.25">
      <c r="A20" s="13" t="s">
        <v>36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>
        <v>1.05</v>
      </c>
      <c r="Y20" s="109">
        <v>1.05</v>
      </c>
      <c r="Z20" s="26">
        <f t="shared" si="1"/>
        <v>3.1712665132377729E-4</v>
      </c>
      <c r="AB20" s="109">
        <f t="shared" si="2"/>
        <v>0</v>
      </c>
      <c r="AC20" s="109">
        <f t="shared" si="3"/>
        <v>0</v>
      </c>
      <c r="AD20" s="109">
        <f t="shared" si="4"/>
        <v>1.05</v>
      </c>
      <c r="AE20" s="109">
        <f t="shared" si="5"/>
        <v>1.05</v>
      </c>
      <c r="AF20" s="26">
        <f t="shared" si="6"/>
        <v>0</v>
      </c>
    </row>
    <row r="21" spans="1:32" x14ac:dyDescent="0.25">
      <c r="A21" s="13" t="s">
        <v>41</v>
      </c>
      <c r="B21" s="109"/>
      <c r="C21" s="109"/>
      <c r="D21" s="109"/>
      <c r="E21" s="109"/>
      <c r="F21" s="109"/>
      <c r="G21" s="109"/>
      <c r="H21" s="109"/>
      <c r="I21" s="109"/>
      <c r="J21" s="109">
        <v>0.8</v>
      </c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>
        <v>0.8</v>
      </c>
      <c r="Z21" s="26">
        <f t="shared" si="1"/>
        <v>2.4162030577049696E-4</v>
      </c>
      <c r="AB21" s="109">
        <f t="shared" si="2"/>
        <v>0.8</v>
      </c>
      <c r="AC21" s="109">
        <f t="shared" si="3"/>
        <v>0</v>
      </c>
      <c r="AD21" s="109">
        <f t="shared" si="4"/>
        <v>0</v>
      </c>
      <c r="AE21" s="109">
        <f t="shared" si="5"/>
        <v>0.8</v>
      </c>
      <c r="AF21" s="26">
        <f t="shared" si="6"/>
        <v>0</v>
      </c>
    </row>
    <row r="22" spans="1:32" x14ac:dyDescent="0.25">
      <c r="A22" s="44" t="s">
        <v>52</v>
      </c>
      <c r="B22" s="45">
        <f t="shared" ref="B22:Y22" si="12">SUM(B23:B26)</f>
        <v>0.68</v>
      </c>
      <c r="C22" s="45">
        <f t="shared" si="12"/>
        <v>0</v>
      </c>
      <c r="D22" s="45">
        <f t="shared" si="12"/>
        <v>0</v>
      </c>
      <c r="E22" s="45">
        <f t="shared" si="12"/>
        <v>0</v>
      </c>
      <c r="F22" s="45">
        <f t="shared" si="12"/>
        <v>0</v>
      </c>
      <c r="G22" s="45">
        <f t="shared" si="12"/>
        <v>0</v>
      </c>
      <c r="H22" s="45">
        <f t="shared" si="12"/>
        <v>0</v>
      </c>
      <c r="I22" s="45">
        <f t="shared" si="12"/>
        <v>0</v>
      </c>
      <c r="J22" s="45">
        <f t="shared" si="12"/>
        <v>0</v>
      </c>
      <c r="K22" s="45">
        <f t="shared" si="12"/>
        <v>0</v>
      </c>
      <c r="L22" s="45">
        <f t="shared" si="12"/>
        <v>0</v>
      </c>
      <c r="M22" s="45">
        <f t="shared" si="12"/>
        <v>1.26</v>
      </c>
      <c r="N22" s="45">
        <f t="shared" si="12"/>
        <v>0.06</v>
      </c>
      <c r="O22" s="45">
        <f t="shared" si="12"/>
        <v>1.07</v>
      </c>
      <c r="P22" s="45">
        <f t="shared" si="12"/>
        <v>0</v>
      </c>
      <c r="Q22" s="45">
        <f t="shared" si="12"/>
        <v>0</v>
      </c>
      <c r="R22" s="45">
        <f t="shared" si="12"/>
        <v>0.48</v>
      </c>
      <c r="S22" s="45">
        <f t="shared" si="12"/>
        <v>0.47</v>
      </c>
      <c r="T22" s="45">
        <f t="shared" si="12"/>
        <v>0</v>
      </c>
      <c r="U22" s="45">
        <f t="shared" si="12"/>
        <v>0</v>
      </c>
      <c r="V22" s="45">
        <f t="shared" si="12"/>
        <v>0.28000000000000003</v>
      </c>
      <c r="W22" s="45">
        <f t="shared" si="12"/>
        <v>0</v>
      </c>
      <c r="X22" s="45">
        <f t="shared" si="12"/>
        <v>0</v>
      </c>
      <c r="Y22" s="45">
        <f t="shared" si="12"/>
        <v>4.3</v>
      </c>
      <c r="Z22" s="46">
        <f t="shared" si="1"/>
        <v>1.2987091435164211E-3</v>
      </c>
      <c r="AB22" s="45">
        <f t="shared" si="2"/>
        <v>4.0200000000000005</v>
      </c>
      <c r="AC22" s="45">
        <f t="shared" si="3"/>
        <v>0.28000000000000003</v>
      </c>
      <c r="AD22" s="45">
        <f t="shared" si="4"/>
        <v>0</v>
      </c>
      <c r="AE22" s="45">
        <f t="shared" si="5"/>
        <v>4.3000000000000007</v>
      </c>
      <c r="AF22" s="46">
        <f t="shared" si="6"/>
        <v>6.5116279069767441E-2</v>
      </c>
    </row>
    <row r="23" spans="1:32" x14ac:dyDescent="0.25">
      <c r="A23" s="13" t="s">
        <v>29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>
        <v>1.26</v>
      </c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>
        <v>1.26</v>
      </c>
      <c r="Z23" s="26">
        <f t="shared" si="1"/>
        <v>3.805519815885327E-4</v>
      </c>
      <c r="AB23" s="109">
        <f t="shared" si="2"/>
        <v>1.26</v>
      </c>
      <c r="AC23" s="109">
        <f t="shared" si="3"/>
        <v>0</v>
      </c>
      <c r="AD23" s="109">
        <f t="shared" si="4"/>
        <v>0</v>
      </c>
      <c r="AE23" s="109">
        <f t="shared" si="5"/>
        <v>1.26</v>
      </c>
      <c r="AF23" s="26">
        <f t="shared" si="6"/>
        <v>0</v>
      </c>
    </row>
    <row r="24" spans="1:32" x14ac:dyDescent="0.25">
      <c r="A24" s="13" t="s">
        <v>31</v>
      </c>
      <c r="B24" s="109">
        <v>0.68</v>
      </c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>
        <v>1.07</v>
      </c>
      <c r="P24" s="109"/>
      <c r="Q24" s="109"/>
      <c r="R24" s="109"/>
      <c r="S24" s="109"/>
      <c r="T24" s="109"/>
      <c r="U24" s="109"/>
      <c r="V24" s="109">
        <v>0.28000000000000003</v>
      </c>
      <c r="W24" s="109"/>
      <c r="X24" s="109"/>
      <c r="Y24" s="109">
        <v>2.0300000000000002</v>
      </c>
      <c r="Z24" s="26">
        <f t="shared" si="1"/>
        <v>6.1311152589263614E-4</v>
      </c>
      <c r="AB24" s="109">
        <f t="shared" si="2"/>
        <v>1.75</v>
      </c>
      <c r="AC24" s="109">
        <f t="shared" si="3"/>
        <v>0.28000000000000003</v>
      </c>
      <c r="AD24" s="109">
        <f t="shared" si="4"/>
        <v>0</v>
      </c>
      <c r="AE24" s="109">
        <f t="shared" si="5"/>
        <v>2.0300000000000002</v>
      </c>
      <c r="AF24" s="26">
        <f t="shared" si="6"/>
        <v>0.13793103448275862</v>
      </c>
    </row>
    <row r="25" spans="1:32" x14ac:dyDescent="0.25">
      <c r="A25" s="13" t="s">
        <v>32</v>
      </c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>
        <v>0.47</v>
      </c>
      <c r="T25" s="109"/>
      <c r="U25" s="109"/>
      <c r="V25" s="109"/>
      <c r="W25" s="109"/>
      <c r="X25" s="109"/>
      <c r="Y25" s="109">
        <v>0.47</v>
      </c>
      <c r="Z25" s="26">
        <f t="shared" si="1"/>
        <v>1.4195192964016695E-4</v>
      </c>
      <c r="AB25" s="109">
        <f t="shared" si="2"/>
        <v>0.47</v>
      </c>
      <c r="AC25" s="109">
        <f t="shared" si="3"/>
        <v>0</v>
      </c>
      <c r="AD25" s="109">
        <f t="shared" si="4"/>
        <v>0</v>
      </c>
      <c r="AE25" s="109">
        <f t="shared" si="5"/>
        <v>0.47</v>
      </c>
      <c r="AF25" s="26">
        <f t="shared" si="6"/>
        <v>0</v>
      </c>
    </row>
    <row r="26" spans="1:32" x14ac:dyDescent="0.25">
      <c r="A26" s="13" t="s">
        <v>33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>
        <v>0.06</v>
      </c>
      <c r="O26" s="109"/>
      <c r="P26" s="109"/>
      <c r="Q26" s="109"/>
      <c r="R26" s="109">
        <v>0.48</v>
      </c>
      <c r="S26" s="109"/>
      <c r="T26" s="109"/>
      <c r="U26" s="109"/>
      <c r="V26" s="109"/>
      <c r="W26" s="109"/>
      <c r="X26" s="109"/>
      <c r="Y26" s="109">
        <v>0.54</v>
      </c>
      <c r="Z26" s="26">
        <f t="shared" si="1"/>
        <v>1.6309370639508544E-4</v>
      </c>
      <c r="AB26" s="109">
        <f t="shared" si="2"/>
        <v>0.54</v>
      </c>
      <c r="AC26" s="109">
        <f t="shared" si="3"/>
        <v>0</v>
      </c>
      <c r="AD26" s="109">
        <f t="shared" si="4"/>
        <v>0</v>
      </c>
      <c r="AE26" s="109">
        <f t="shared" si="5"/>
        <v>0.54</v>
      </c>
      <c r="AF26" s="26">
        <f t="shared" si="6"/>
        <v>0</v>
      </c>
    </row>
    <row r="27" spans="1:32" x14ac:dyDescent="0.25">
      <c r="A27" s="44" t="s">
        <v>65</v>
      </c>
      <c r="B27" s="45">
        <f>B28</f>
        <v>0</v>
      </c>
      <c r="C27" s="45">
        <f t="shared" ref="C27:Y27" si="13">C28</f>
        <v>0</v>
      </c>
      <c r="D27" s="45">
        <f t="shared" si="13"/>
        <v>0</v>
      </c>
      <c r="E27" s="45">
        <f t="shared" si="13"/>
        <v>0</v>
      </c>
      <c r="F27" s="45">
        <f t="shared" si="13"/>
        <v>0</v>
      </c>
      <c r="G27" s="45">
        <f t="shared" si="13"/>
        <v>0</v>
      </c>
      <c r="H27" s="45">
        <f t="shared" si="13"/>
        <v>0</v>
      </c>
      <c r="I27" s="45">
        <f t="shared" si="13"/>
        <v>0</v>
      </c>
      <c r="J27" s="45">
        <f t="shared" si="13"/>
        <v>0</v>
      </c>
      <c r="K27" s="45">
        <f t="shared" si="13"/>
        <v>0</v>
      </c>
      <c r="L27" s="45">
        <f t="shared" si="13"/>
        <v>0</v>
      </c>
      <c r="M27" s="45">
        <f t="shared" si="13"/>
        <v>0</v>
      </c>
      <c r="N27" s="45">
        <f t="shared" si="13"/>
        <v>0</v>
      </c>
      <c r="O27" s="45">
        <f t="shared" si="13"/>
        <v>0</v>
      </c>
      <c r="P27" s="45">
        <f t="shared" si="13"/>
        <v>0</v>
      </c>
      <c r="Q27" s="45">
        <f t="shared" si="13"/>
        <v>0</v>
      </c>
      <c r="R27" s="45">
        <f t="shared" si="13"/>
        <v>0</v>
      </c>
      <c r="S27" s="45">
        <f t="shared" si="13"/>
        <v>0</v>
      </c>
      <c r="T27" s="45">
        <f t="shared" si="13"/>
        <v>0</v>
      </c>
      <c r="U27" s="45">
        <f t="shared" si="13"/>
        <v>0</v>
      </c>
      <c r="V27" s="45">
        <f t="shared" si="13"/>
        <v>0</v>
      </c>
      <c r="W27" s="45">
        <f t="shared" si="13"/>
        <v>0</v>
      </c>
      <c r="X27" s="45">
        <f t="shared" si="13"/>
        <v>0.52</v>
      </c>
      <c r="Y27" s="45">
        <f t="shared" si="13"/>
        <v>0.52</v>
      </c>
      <c r="Z27" s="46">
        <f t="shared" si="1"/>
        <v>1.5705319875082303E-4</v>
      </c>
      <c r="AB27" s="45">
        <f t="shared" si="2"/>
        <v>0</v>
      </c>
      <c r="AC27" s="45">
        <f t="shared" si="3"/>
        <v>0</v>
      </c>
      <c r="AD27" s="45">
        <f t="shared" si="4"/>
        <v>0.52</v>
      </c>
      <c r="AE27" s="45">
        <f t="shared" si="5"/>
        <v>0.52</v>
      </c>
      <c r="AF27" s="46">
        <f t="shared" si="6"/>
        <v>0</v>
      </c>
    </row>
    <row r="28" spans="1:32" x14ac:dyDescent="0.25">
      <c r="A28" s="13" t="s">
        <v>66</v>
      </c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>
        <v>0.52</v>
      </c>
      <c r="Y28" s="109">
        <v>0.52</v>
      </c>
      <c r="Z28" s="26">
        <f t="shared" si="1"/>
        <v>1.5705319875082303E-4</v>
      </c>
      <c r="AB28" s="109">
        <f t="shared" si="2"/>
        <v>0</v>
      </c>
      <c r="AC28" s="109">
        <f t="shared" si="3"/>
        <v>0</v>
      </c>
      <c r="AD28" s="109">
        <f t="shared" si="4"/>
        <v>0.52</v>
      </c>
      <c r="AE28" s="109">
        <f t="shared" si="5"/>
        <v>0.52</v>
      </c>
      <c r="AF28" s="26">
        <f t="shared" si="6"/>
        <v>0</v>
      </c>
    </row>
    <row r="29" spans="1:32" x14ac:dyDescent="0.25">
      <c r="A29" s="44" t="s">
        <v>51</v>
      </c>
      <c r="B29" s="45">
        <f>SUM(B30:B33)</f>
        <v>2519.3599999999997</v>
      </c>
      <c r="C29" s="45">
        <f t="shared" ref="C29:Y29" si="14">SUM(C30:C33)</f>
        <v>91.19</v>
      </c>
      <c r="D29" s="45">
        <f t="shared" si="14"/>
        <v>16.850000000000001</v>
      </c>
      <c r="E29" s="45">
        <f t="shared" si="14"/>
        <v>2.87</v>
      </c>
      <c r="F29" s="45">
        <f t="shared" si="14"/>
        <v>3.4899999999999998</v>
      </c>
      <c r="G29" s="45">
        <f t="shared" si="14"/>
        <v>9.2899999999999991</v>
      </c>
      <c r="H29" s="45">
        <f t="shared" si="14"/>
        <v>9.17</v>
      </c>
      <c r="I29" s="45">
        <f t="shared" si="14"/>
        <v>3.64</v>
      </c>
      <c r="J29" s="45">
        <f t="shared" si="14"/>
        <v>3.17</v>
      </c>
      <c r="K29" s="45">
        <f t="shared" si="14"/>
        <v>6.12</v>
      </c>
      <c r="L29" s="45">
        <f t="shared" si="14"/>
        <v>1.77</v>
      </c>
      <c r="M29" s="45">
        <f t="shared" si="14"/>
        <v>7.4399999999999995</v>
      </c>
      <c r="N29" s="45">
        <f t="shared" si="14"/>
        <v>3.02</v>
      </c>
      <c r="O29" s="45">
        <f t="shared" si="14"/>
        <v>4.68</v>
      </c>
      <c r="P29" s="45">
        <f t="shared" si="14"/>
        <v>2.6999999999999997</v>
      </c>
      <c r="Q29" s="45">
        <f t="shared" si="14"/>
        <v>8.1399999999999988</v>
      </c>
      <c r="R29" s="45">
        <f t="shared" si="14"/>
        <v>25.8</v>
      </c>
      <c r="S29" s="45">
        <f t="shared" si="14"/>
        <v>28.130000000000003</v>
      </c>
      <c r="T29" s="45">
        <f t="shared" si="14"/>
        <v>29.410000000000004</v>
      </c>
      <c r="U29" s="45">
        <f t="shared" si="14"/>
        <v>25.44</v>
      </c>
      <c r="V29" s="45">
        <f t="shared" si="14"/>
        <v>20</v>
      </c>
      <c r="W29" s="45">
        <f t="shared" si="14"/>
        <v>16.119999999999997</v>
      </c>
      <c r="X29" s="45">
        <f t="shared" si="14"/>
        <v>0</v>
      </c>
      <c r="Y29" s="45">
        <f t="shared" si="14"/>
        <v>2837.8</v>
      </c>
      <c r="Z29" s="46">
        <f t="shared" si="1"/>
        <v>0.85708762964439533</v>
      </c>
      <c r="AB29" s="45">
        <f t="shared" si="2"/>
        <v>2746.829999999999</v>
      </c>
      <c r="AC29" s="45">
        <f t="shared" si="3"/>
        <v>90.97</v>
      </c>
      <c r="AD29" s="45">
        <f t="shared" si="4"/>
        <v>0</v>
      </c>
      <c r="AE29" s="45">
        <f t="shared" si="5"/>
        <v>2837.7999999999988</v>
      </c>
      <c r="AF29" s="46">
        <f t="shared" si="6"/>
        <v>3.2056522658397361E-2</v>
      </c>
    </row>
    <row r="30" spans="1:32" x14ac:dyDescent="0.25">
      <c r="A30" s="13" t="s">
        <v>25</v>
      </c>
      <c r="B30" s="109">
        <v>40.33</v>
      </c>
      <c r="C30" s="109">
        <v>0.3</v>
      </c>
      <c r="D30" s="109"/>
      <c r="E30" s="109"/>
      <c r="F30" s="109"/>
      <c r="G30" s="109"/>
      <c r="H30" s="109"/>
      <c r="I30" s="109"/>
      <c r="J30" s="109"/>
      <c r="K30" s="109">
        <v>1.82</v>
      </c>
      <c r="L30" s="109"/>
      <c r="M30" s="109">
        <v>0.01</v>
      </c>
      <c r="N30" s="109"/>
      <c r="O30" s="109"/>
      <c r="P30" s="109">
        <v>0.1</v>
      </c>
      <c r="Q30" s="109">
        <v>0.1</v>
      </c>
      <c r="R30" s="109">
        <v>0.2</v>
      </c>
      <c r="S30" s="109"/>
      <c r="T30" s="109"/>
      <c r="U30" s="109"/>
      <c r="V30" s="109"/>
      <c r="W30" s="109"/>
      <c r="X30" s="109"/>
      <c r="Y30" s="109">
        <v>42.86</v>
      </c>
      <c r="Z30" s="26">
        <f t="shared" si="1"/>
        <v>1.2944807881654374E-2</v>
      </c>
      <c r="AB30" s="109">
        <f t="shared" si="2"/>
        <v>42.86</v>
      </c>
      <c r="AC30" s="109">
        <f t="shared" si="3"/>
        <v>0</v>
      </c>
      <c r="AD30" s="109">
        <f t="shared" si="4"/>
        <v>0</v>
      </c>
      <c r="AE30" s="109">
        <f t="shared" si="5"/>
        <v>42.86</v>
      </c>
      <c r="AF30" s="26">
        <f t="shared" si="6"/>
        <v>0</v>
      </c>
    </row>
    <row r="31" spans="1:32" x14ac:dyDescent="0.25">
      <c r="A31" s="13" t="s">
        <v>26</v>
      </c>
      <c r="B31" s="109">
        <v>300.85000000000002</v>
      </c>
      <c r="C31" s="109">
        <v>34.909999999999997</v>
      </c>
      <c r="D31" s="109">
        <v>13.32</v>
      </c>
      <c r="E31" s="109">
        <v>1.33</v>
      </c>
      <c r="F31" s="109">
        <v>0.94</v>
      </c>
      <c r="G31" s="109">
        <v>0.04</v>
      </c>
      <c r="H31" s="109"/>
      <c r="I31" s="109"/>
      <c r="J31" s="109"/>
      <c r="K31" s="109"/>
      <c r="L31" s="109">
        <v>0.66</v>
      </c>
      <c r="M31" s="109">
        <v>1.35</v>
      </c>
      <c r="N31" s="109"/>
      <c r="O31" s="109"/>
      <c r="P31" s="109"/>
      <c r="Q31" s="109">
        <v>0.05</v>
      </c>
      <c r="R31" s="109">
        <v>3.12</v>
      </c>
      <c r="S31" s="109">
        <v>5.18</v>
      </c>
      <c r="T31" s="109">
        <v>1.76</v>
      </c>
      <c r="U31" s="109">
        <v>9.7800000000000011</v>
      </c>
      <c r="V31" s="109">
        <v>7.12</v>
      </c>
      <c r="W31" s="109">
        <v>7.08</v>
      </c>
      <c r="X31" s="109"/>
      <c r="Y31" s="109">
        <v>387.49000000000007</v>
      </c>
      <c r="Z31" s="26">
        <f t="shared" si="1"/>
        <v>0.11703181535376235</v>
      </c>
      <c r="AB31" s="109">
        <f t="shared" si="2"/>
        <v>361.75000000000006</v>
      </c>
      <c r="AC31" s="109">
        <f t="shared" si="3"/>
        <v>25.740000000000002</v>
      </c>
      <c r="AD31" s="109">
        <f t="shared" si="4"/>
        <v>0</v>
      </c>
      <c r="AE31" s="109">
        <f t="shared" si="5"/>
        <v>387.49000000000007</v>
      </c>
      <c r="AF31" s="26">
        <f t="shared" si="6"/>
        <v>6.6427520710211865E-2</v>
      </c>
    </row>
    <row r="32" spans="1:32" x14ac:dyDescent="0.25">
      <c r="A32" s="13" t="s">
        <v>27</v>
      </c>
      <c r="B32" s="109">
        <v>2.2199999999999998</v>
      </c>
      <c r="C32" s="109"/>
      <c r="D32" s="109"/>
      <c r="E32" s="109"/>
      <c r="F32" s="109"/>
      <c r="G32" s="109">
        <v>0.49</v>
      </c>
      <c r="H32" s="109"/>
      <c r="I32" s="109"/>
      <c r="J32" s="109"/>
      <c r="K32" s="109"/>
      <c r="L32" s="109"/>
      <c r="M32" s="109">
        <v>0.72</v>
      </c>
      <c r="N32" s="109"/>
      <c r="O32" s="109"/>
      <c r="P32" s="109"/>
      <c r="Q32" s="109">
        <v>0.25</v>
      </c>
      <c r="R32" s="109"/>
      <c r="S32" s="109"/>
      <c r="T32" s="109"/>
      <c r="U32" s="109">
        <v>0.05</v>
      </c>
      <c r="V32" s="109"/>
      <c r="W32" s="109"/>
      <c r="X32" s="109"/>
      <c r="Y32" s="109">
        <v>3.7299999999999995</v>
      </c>
      <c r="Z32" s="26">
        <f t="shared" si="1"/>
        <v>1.1265546756549418E-3</v>
      </c>
      <c r="AB32" s="109">
        <f t="shared" si="2"/>
        <v>3.6799999999999997</v>
      </c>
      <c r="AC32" s="109">
        <f t="shared" si="3"/>
        <v>0.05</v>
      </c>
      <c r="AD32" s="109">
        <f t="shared" si="4"/>
        <v>0</v>
      </c>
      <c r="AE32" s="109">
        <f t="shared" si="5"/>
        <v>3.7299999999999995</v>
      </c>
      <c r="AF32" s="26">
        <f t="shared" si="6"/>
        <v>1.3404825737265418E-2</v>
      </c>
    </row>
    <row r="33" spans="1:32" x14ac:dyDescent="0.25">
      <c r="A33" s="13" t="s">
        <v>28</v>
      </c>
      <c r="B33" s="109">
        <v>2175.9599999999996</v>
      </c>
      <c r="C33" s="109">
        <v>55.980000000000004</v>
      </c>
      <c r="D33" s="109">
        <v>3.5299999999999994</v>
      </c>
      <c r="E33" s="109">
        <v>1.54</v>
      </c>
      <c r="F33" s="109">
        <v>2.5499999999999998</v>
      </c>
      <c r="G33" s="109">
        <v>8.76</v>
      </c>
      <c r="H33" s="109">
        <v>9.17</v>
      </c>
      <c r="I33" s="109">
        <v>3.64</v>
      </c>
      <c r="J33" s="109">
        <v>3.17</v>
      </c>
      <c r="K33" s="109">
        <v>4.3</v>
      </c>
      <c r="L33" s="109">
        <v>1.1099999999999999</v>
      </c>
      <c r="M33" s="109">
        <v>5.3599999999999994</v>
      </c>
      <c r="N33" s="109">
        <v>3.02</v>
      </c>
      <c r="O33" s="109">
        <v>4.68</v>
      </c>
      <c r="P33" s="109">
        <v>2.5999999999999996</v>
      </c>
      <c r="Q33" s="109">
        <v>7.7399999999999993</v>
      </c>
      <c r="R33" s="109">
        <v>22.48</v>
      </c>
      <c r="S33" s="109">
        <v>22.950000000000003</v>
      </c>
      <c r="T33" s="109">
        <v>27.650000000000002</v>
      </c>
      <c r="U33" s="109">
        <v>15.61</v>
      </c>
      <c r="V33" s="109">
        <v>12.88</v>
      </c>
      <c r="W33" s="109">
        <v>9.0399999999999991</v>
      </c>
      <c r="X33" s="109"/>
      <c r="Y33" s="109">
        <v>2403.7200000000003</v>
      </c>
      <c r="Z33" s="26">
        <f t="shared" si="1"/>
        <v>0.72598445173332371</v>
      </c>
      <c r="AB33" s="109">
        <f t="shared" si="2"/>
        <v>2338.54</v>
      </c>
      <c r="AC33" s="109">
        <f t="shared" si="3"/>
        <v>65.180000000000007</v>
      </c>
      <c r="AD33" s="109">
        <f t="shared" si="4"/>
        <v>0</v>
      </c>
      <c r="AE33" s="109">
        <f t="shared" si="5"/>
        <v>2403.7199999999998</v>
      </c>
      <c r="AF33" s="26">
        <f t="shared" si="6"/>
        <v>2.7116303063584781E-2</v>
      </c>
    </row>
    <row r="34" spans="1:32" x14ac:dyDescent="0.25">
      <c r="A34" s="44" t="s">
        <v>54</v>
      </c>
      <c r="B34" s="45">
        <f>SUM(B35:B36)</f>
        <v>0.09</v>
      </c>
      <c r="C34" s="45">
        <f t="shared" ref="C34:Y34" si="15">SUM(C35:C36)</f>
        <v>0</v>
      </c>
      <c r="D34" s="45">
        <f t="shared" si="15"/>
        <v>0</v>
      </c>
      <c r="E34" s="45">
        <f t="shared" si="15"/>
        <v>0</v>
      </c>
      <c r="F34" s="45">
        <f t="shared" si="15"/>
        <v>0</v>
      </c>
      <c r="G34" s="45">
        <f t="shared" si="15"/>
        <v>0</v>
      </c>
      <c r="H34" s="45">
        <f t="shared" si="15"/>
        <v>0</v>
      </c>
      <c r="I34" s="45">
        <f t="shared" si="15"/>
        <v>0</v>
      </c>
      <c r="J34" s="45">
        <f t="shared" si="15"/>
        <v>0</v>
      </c>
      <c r="K34" s="45">
        <f t="shared" si="15"/>
        <v>0</v>
      </c>
      <c r="L34" s="45">
        <f t="shared" si="15"/>
        <v>0</v>
      </c>
      <c r="M34" s="45">
        <f t="shared" si="15"/>
        <v>0</v>
      </c>
      <c r="N34" s="45">
        <f t="shared" si="15"/>
        <v>0</v>
      </c>
      <c r="O34" s="45">
        <f t="shared" si="15"/>
        <v>0.2</v>
      </c>
      <c r="P34" s="45">
        <f t="shared" si="15"/>
        <v>0</v>
      </c>
      <c r="Q34" s="45">
        <f t="shared" si="15"/>
        <v>0</v>
      </c>
      <c r="R34" s="45">
        <f t="shared" si="15"/>
        <v>0.04</v>
      </c>
      <c r="S34" s="45">
        <f t="shared" si="15"/>
        <v>0</v>
      </c>
      <c r="T34" s="45">
        <f t="shared" si="15"/>
        <v>0</v>
      </c>
      <c r="U34" s="45">
        <f t="shared" si="15"/>
        <v>0</v>
      </c>
      <c r="V34" s="45">
        <f t="shared" si="15"/>
        <v>0</v>
      </c>
      <c r="W34" s="45">
        <f t="shared" si="15"/>
        <v>0.08</v>
      </c>
      <c r="X34" s="45">
        <f t="shared" si="15"/>
        <v>0</v>
      </c>
      <c r="Y34" s="45">
        <f t="shared" si="15"/>
        <v>0.41000000000000003</v>
      </c>
      <c r="Z34" s="46">
        <f t="shared" si="1"/>
        <v>1.238304067073797E-4</v>
      </c>
      <c r="AB34" s="45">
        <f t="shared" si="2"/>
        <v>0.33</v>
      </c>
      <c r="AC34" s="45">
        <f t="shared" si="3"/>
        <v>0.08</v>
      </c>
      <c r="AD34" s="45">
        <f t="shared" si="4"/>
        <v>0</v>
      </c>
      <c r="AE34" s="45">
        <f t="shared" si="5"/>
        <v>0.41000000000000003</v>
      </c>
      <c r="AF34" s="46">
        <f t="shared" si="6"/>
        <v>0.19512195121951217</v>
      </c>
    </row>
    <row r="35" spans="1:32" x14ac:dyDescent="0.25">
      <c r="A35" s="13" t="s">
        <v>43</v>
      </c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>
        <v>0.04</v>
      </c>
      <c r="S35" s="109"/>
      <c r="T35" s="109"/>
      <c r="U35" s="109"/>
      <c r="V35" s="109"/>
      <c r="W35" s="109"/>
      <c r="X35" s="109"/>
      <c r="Y35" s="109">
        <v>0.04</v>
      </c>
      <c r="Z35" s="26">
        <f t="shared" si="1"/>
        <v>1.2081015288524847E-5</v>
      </c>
      <c r="AB35" s="109">
        <f t="shared" si="2"/>
        <v>0.04</v>
      </c>
      <c r="AC35" s="109">
        <f t="shared" si="3"/>
        <v>0</v>
      </c>
      <c r="AD35" s="109">
        <f t="shared" si="4"/>
        <v>0</v>
      </c>
      <c r="AE35" s="109">
        <f t="shared" si="5"/>
        <v>0.04</v>
      </c>
      <c r="AF35" s="26">
        <f t="shared" si="6"/>
        <v>0</v>
      </c>
    </row>
    <row r="36" spans="1:32" x14ac:dyDescent="0.25">
      <c r="A36" s="13" t="s">
        <v>44</v>
      </c>
      <c r="B36" s="109">
        <v>0.09</v>
      </c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>
        <v>0.2</v>
      </c>
      <c r="P36" s="109"/>
      <c r="Q36" s="109"/>
      <c r="R36" s="109"/>
      <c r="S36" s="109"/>
      <c r="T36" s="109"/>
      <c r="U36" s="109"/>
      <c r="V36" s="109"/>
      <c r="W36" s="109">
        <v>0.08</v>
      </c>
      <c r="X36" s="109"/>
      <c r="Y36" s="109">
        <v>0.37000000000000005</v>
      </c>
      <c r="Z36" s="26">
        <f t="shared" si="1"/>
        <v>1.1174939141885485E-4</v>
      </c>
      <c r="AB36" s="109">
        <f t="shared" si="2"/>
        <v>0.29000000000000004</v>
      </c>
      <c r="AC36" s="109">
        <f t="shared" si="3"/>
        <v>0.08</v>
      </c>
      <c r="AD36" s="109">
        <f t="shared" si="4"/>
        <v>0</v>
      </c>
      <c r="AE36" s="109">
        <f t="shared" si="5"/>
        <v>0.37000000000000005</v>
      </c>
      <c r="AF36" s="26">
        <f t="shared" si="6"/>
        <v>0.2162162162162162</v>
      </c>
    </row>
    <row r="37" spans="1:32" x14ac:dyDescent="0.25">
      <c r="A37" s="44" t="s">
        <v>67</v>
      </c>
      <c r="B37" s="45">
        <f>SUM(B38:B41)</f>
        <v>0</v>
      </c>
      <c r="C37" s="45">
        <f t="shared" ref="C37:Y37" si="16">SUM(C38:C41)</f>
        <v>0</v>
      </c>
      <c r="D37" s="45">
        <f t="shared" si="16"/>
        <v>0</v>
      </c>
      <c r="E37" s="45">
        <f t="shared" si="16"/>
        <v>0</v>
      </c>
      <c r="F37" s="45">
        <f t="shared" si="16"/>
        <v>0</v>
      </c>
      <c r="G37" s="45">
        <f t="shared" si="16"/>
        <v>0</v>
      </c>
      <c r="H37" s="45">
        <f t="shared" si="16"/>
        <v>0</v>
      </c>
      <c r="I37" s="45">
        <f t="shared" si="16"/>
        <v>0</v>
      </c>
      <c r="J37" s="45">
        <f t="shared" si="16"/>
        <v>0</v>
      </c>
      <c r="K37" s="45">
        <f t="shared" si="16"/>
        <v>0.18</v>
      </c>
      <c r="L37" s="45">
        <f t="shared" si="16"/>
        <v>0</v>
      </c>
      <c r="M37" s="45">
        <f t="shared" si="16"/>
        <v>0</v>
      </c>
      <c r="N37" s="45">
        <f t="shared" si="16"/>
        <v>0</v>
      </c>
      <c r="O37" s="45">
        <f t="shared" si="16"/>
        <v>0</v>
      </c>
      <c r="P37" s="45">
        <f t="shared" si="16"/>
        <v>0</v>
      </c>
      <c r="Q37" s="45">
        <f t="shared" si="16"/>
        <v>0</v>
      </c>
      <c r="R37" s="45">
        <f t="shared" si="16"/>
        <v>0</v>
      </c>
      <c r="S37" s="45">
        <f t="shared" si="16"/>
        <v>0.09</v>
      </c>
      <c r="T37" s="45">
        <f t="shared" si="16"/>
        <v>0.22</v>
      </c>
      <c r="U37" s="45">
        <f t="shared" si="16"/>
        <v>0.59</v>
      </c>
      <c r="V37" s="45">
        <f t="shared" si="16"/>
        <v>0.18</v>
      </c>
      <c r="W37" s="45">
        <f t="shared" si="16"/>
        <v>0</v>
      </c>
      <c r="X37" s="45">
        <f t="shared" si="16"/>
        <v>0.45</v>
      </c>
      <c r="Y37" s="45">
        <f t="shared" si="16"/>
        <v>1.71</v>
      </c>
      <c r="Z37" s="46">
        <f t="shared" si="1"/>
        <v>5.1646340358443724E-4</v>
      </c>
      <c r="AB37" s="45">
        <f t="shared" si="2"/>
        <v>0.27</v>
      </c>
      <c r="AC37" s="45">
        <f t="shared" si="3"/>
        <v>0.99</v>
      </c>
      <c r="AD37" s="45">
        <f t="shared" si="4"/>
        <v>0.45</v>
      </c>
      <c r="AE37" s="45">
        <f t="shared" si="5"/>
        <v>1.71</v>
      </c>
      <c r="AF37" s="46">
        <f t="shared" si="6"/>
        <v>0.57894736842105265</v>
      </c>
    </row>
    <row r="38" spans="1:32" x14ac:dyDescent="0.25">
      <c r="A38" s="13" t="s">
        <v>68</v>
      </c>
      <c r="B38" s="109"/>
      <c r="C38" s="109"/>
      <c r="D38" s="109"/>
      <c r="E38" s="109"/>
      <c r="F38" s="109"/>
      <c r="G38" s="109"/>
      <c r="H38" s="109"/>
      <c r="I38" s="109"/>
      <c r="J38" s="109"/>
      <c r="K38" s="109">
        <v>0.18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>
        <v>0.18</v>
      </c>
      <c r="Z38" s="26">
        <f t="shared" si="1"/>
        <v>5.4364568798361814E-5</v>
      </c>
      <c r="AB38" s="109">
        <f t="shared" si="2"/>
        <v>0.18</v>
      </c>
      <c r="AC38" s="109">
        <f t="shared" si="3"/>
        <v>0</v>
      </c>
      <c r="AD38" s="109">
        <f t="shared" si="4"/>
        <v>0</v>
      </c>
      <c r="AE38" s="109">
        <f t="shared" si="5"/>
        <v>0.18</v>
      </c>
      <c r="AF38" s="26">
        <f t="shared" si="6"/>
        <v>0</v>
      </c>
    </row>
    <row r="39" spans="1:32" x14ac:dyDescent="0.25">
      <c r="A39" s="13" t="s">
        <v>69</v>
      </c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>
        <v>0.43</v>
      </c>
      <c r="V39" s="109"/>
      <c r="W39" s="109"/>
      <c r="X39" s="109"/>
      <c r="Y39" s="109">
        <v>0.43</v>
      </c>
      <c r="Z39" s="26">
        <f t="shared" si="1"/>
        <v>1.2987091435164212E-4</v>
      </c>
      <c r="AB39" s="109">
        <f t="shared" si="2"/>
        <v>0</v>
      </c>
      <c r="AC39" s="109">
        <f t="shared" si="3"/>
        <v>0.43</v>
      </c>
      <c r="AD39" s="109">
        <f t="shared" si="4"/>
        <v>0</v>
      </c>
      <c r="AE39" s="109">
        <f t="shared" si="5"/>
        <v>0.43</v>
      </c>
      <c r="AF39" s="26">
        <f t="shared" si="6"/>
        <v>1</v>
      </c>
    </row>
    <row r="40" spans="1:32" x14ac:dyDescent="0.25">
      <c r="A40" s="13" t="s">
        <v>70</v>
      </c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>
        <v>0.09</v>
      </c>
      <c r="T40" s="109">
        <v>0.22</v>
      </c>
      <c r="U40" s="109"/>
      <c r="V40" s="109"/>
      <c r="W40" s="109"/>
      <c r="X40" s="109"/>
      <c r="Y40" s="109">
        <v>0.31</v>
      </c>
      <c r="Z40" s="26"/>
      <c r="AB40" s="109">
        <f t="shared" si="2"/>
        <v>0.09</v>
      </c>
      <c r="AC40" s="109">
        <f t="shared" si="3"/>
        <v>0.22</v>
      </c>
      <c r="AD40" s="109">
        <f t="shared" si="4"/>
        <v>0</v>
      </c>
      <c r="AE40" s="109">
        <f t="shared" si="5"/>
        <v>0.31</v>
      </c>
      <c r="AF40" s="26">
        <f t="shared" si="6"/>
        <v>0.70967741935483875</v>
      </c>
    </row>
    <row r="41" spans="1:32" x14ac:dyDescent="0.25">
      <c r="A41" s="13" t="s">
        <v>71</v>
      </c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>
        <v>0.16</v>
      </c>
      <c r="V41" s="109">
        <v>0.18</v>
      </c>
      <c r="W41" s="109"/>
      <c r="X41" s="109">
        <v>0.45</v>
      </c>
      <c r="Y41" s="109">
        <v>0.79</v>
      </c>
      <c r="Z41" s="26">
        <f t="shared" ref="Z41:Z47" si="17">Y41/$Y$50</f>
        <v>2.3860005194836575E-4</v>
      </c>
      <c r="AB41" s="109">
        <f t="shared" si="2"/>
        <v>0</v>
      </c>
      <c r="AC41" s="109">
        <f t="shared" si="3"/>
        <v>0.33999999999999997</v>
      </c>
      <c r="AD41" s="109">
        <f t="shared" si="4"/>
        <v>0.45</v>
      </c>
      <c r="AE41" s="109">
        <f t="shared" si="5"/>
        <v>0.79</v>
      </c>
      <c r="AF41" s="26">
        <f t="shared" si="6"/>
        <v>0.430379746835443</v>
      </c>
    </row>
    <row r="42" spans="1:32" x14ac:dyDescent="0.25">
      <c r="A42" s="44" t="s">
        <v>55</v>
      </c>
      <c r="B42" s="45">
        <f>B43</f>
        <v>0.42000000000000004</v>
      </c>
      <c r="C42" s="45">
        <f t="shared" ref="C42:Y42" si="18">C43</f>
        <v>0</v>
      </c>
      <c r="D42" s="45">
        <f t="shared" si="18"/>
        <v>0</v>
      </c>
      <c r="E42" s="45">
        <f t="shared" si="18"/>
        <v>0</v>
      </c>
      <c r="F42" s="45">
        <f t="shared" si="18"/>
        <v>0</v>
      </c>
      <c r="G42" s="45">
        <f t="shared" si="18"/>
        <v>0</v>
      </c>
      <c r="H42" s="45">
        <f t="shared" si="18"/>
        <v>0</v>
      </c>
      <c r="I42" s="45">
        <f t="shared" si="18"/>
        <v>0</v>
      </c>
      <c r="J42" s="45">
        <f t="shared" si="18"/>
        <v>0</v>
      </c>
      <c r="K42" s="45">
        <f t="shared" si="18"/>
        <v>0</v>
      </c>
      <c r="L42" s="45">
        <f t="shared" si="18"/>
        <v>0</v>
      </c>
      <c r="M42" s="45">
        <f t="shared" si="18"/>
        <v>0</v>
      </c>
      <c r="N42" s="45">
        <f t="shared" si="18"/>
        <v>0</v>
      </c>
      <c r="O42" s="45">
        <f t="shared" si="18"/>
        <v>0</v>
      </c>
      <c r="P42" s="45">
        <f t="shared" si="18"/>
        <v>0</v>
      </c>
      <c r="Q42" s="45">
        <f t="shared" si="18"/>
        <v>0</v>
      </c>
      <c r="R42" s="45">
        <f t="shared" si="18"/>
        <v>0</v>
      </c>
      <c r="S42" s="45">
        <f t="shared" si="18"/>
        <v>0</v>
      </c>
      <c r="T42" s="45">
        <f t="shared" si="18"/>
        <v>0</v>
      </c>
      <c r="U42" s="45">
        <f t="shared" si="18"/>
        <v>0</v>
      </c>
      <c r="V42" s="45">
        <f t="shared" si="18"/>
        <v>0.1</v>
      </c>
      <c r="W42" s="45">
        <f t="shared" si="18"/>
        <v>0.61</v>
      </c>
      <c r="X42" s="45">
        <f t="shared" si="18"/>
        <v>0</v>
      </c>
      <c r="Y42" s="45">
        <f t="shared" si="18"/>
        <v>1.1299999999999999</v>
      </c>
      <c r="Z42" s="46">
        <f t="shared" si="17"/>
        <v>3.412886819008269E-4</v>
      </c>
      <c r="AB42" s="45">
        <f t="shared" si="2"/>
        <v>0.42000000000000004</v>
      </c>
      <c r="AC42" s="45">
        <f t="shared" si="3"/>
        <v>0.71</v>
      </c>
      <c r="AD42" s="45">
        <f t="shared" si="4"/>
        <v>0</v>
      </c>
      <c r="AE42" s="45">
        <f t="shared" si="5"/>
        <v>1.1299999999999999</v>
      </c>
      <c r="AF42" s="46">
        <f t="shared" si="6"/>
        <v>0.62831858407079644</v>
      </c>
    </row>
    <row r="43" spans="1:32" x14ac:dyDescent="0.25">
      <c r="A43" s="13" t="s">
        <v>45</v>
      </c>
      <c r="B43" s="109">
        <v>0.42000000000000004</v>
      </c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>
        <v>0.1</v>
      </c>
      <c r="W43" s="109">
        <v>0.61</v>
      </c>
      <c r="X43" s="109"/>
      <c r="Y43" s="109">
        <v>1.1299999999999999</v>
      </c>
      <c r="Z43" s="26">
        <f t="shared" si="17"/>
        <v>3.412886819008269E-4</v>
      </c>
      <c r="AB43" s="109">
        <f t="shared" si="2"/>
        <v>0.42000000000000004</v>
      </c>
      <c r="AC43" s="109">
        <f t="shared" si="3"/>
        <v>0.71</v>
      </c>
      <c r="AD43" s="109">
        <f t="shared" si="4"/>
        <v>0</v>
      </c>
      <c r="AE43" s="109">
        <f t="shared" si="5"/>
        <v>1.1299999999999999</v>
      </c>
      <c r="AF43" s="26">
        <f t="shared" si="6"/>
        <v>0.62831858407079644</v>
      </c>
    </row>
    <row r="44" spans="1:32" x14ac:dyDescent="0.25">
      <c r="A44" s="44" t="s">
        <v>57</v>
      </c>
      <c r="B44" s="45">
        <f>B45</f>
        <v>0.5</v>
      </c>
      <c r="C44" s="45">
        <f t="shared" ref="C44:Y44" si="19">C45</f>
        <v>0</v>
      </c>
      <c r="D44" s="45">
        <f t="shared" si="19"/>
        <v>0</v>
      </c>
      <c r="E44" s="45">
        <f t="shared" si="19"/>
        <v>0</v>
      </c>
      <c r="F44" s="45">
        <f t="shared" si="19"/>
        <v>0</v>
      </c>
      <c r="G44" s="45">
        <f t="shared" si="19"/>
        <v>0</v>
      </c>
      <c r="H44" s="45">
        <f t="shared" si="19"/>
        <v>0</v>
      </c>
      <c r="I44" s="45">
        <f t="shared" si="19"/>
        <v>0</v>
      </c>
      <c r="J44" s="45">
        <f t="shared" si="19"/>
        <v>0</v>
      </c>
      <c r="K44" s="45">
        <f t="shared" si="19"/>
        <v>0</v>
      </c>
      <c r="L44" s="45">
        <f t="shared" si="19"/>
        <v>0</v>
      </c>
      <c r="M44" s="45">
        <f t="shared" si="19"/>
        <v>0</v>
      </c>
      <c r="N44" s="45">
        <f t="shared" si="19"/>
        <v>0</v>
      </c>
      <c r="O44" s="45">
        <f t="shared" si="19"/>
        <v>0</v>
      </c>
      <c r="P44" s="45">
        <f t="shared" si="19"/>
        <v>0</v>
      </c>
      <c r="Q44" s="45">
        <f t="shared" si="19"/>
        <v>0.66</v>
      </c>
      <c r="R44" s="45">
        <f t="shared" si="19"/>
        <v>0.2</v>
      </c>
      <c r="S44" s="45">
        <f t="shared" si="19"/>
        <v>0</v>
      </c>
      <c r="T44" s="45">
        <f t="shared" si="19"/>
        <v>0</v>
      </c>
      <c r="U44" s="45">
        <f t="shared" si="19"/>
        <v>0.06</v>
      </c>
      <c r="V44" s="45">
        <f t="shared" si="19"/>
        <v>0.15</v>
      </c>
      <c r="W44" s="45">
        <f t="shared" si="19"/>
        <v>0.33</v>
      </c>
      <c r="X44" s="45">
        <f t="shared" si="19"/>
        <v>0.27</v>
      </c>
      <c r="Y44" s="45">
        <f t="shared" si="19"/>
        <v>2.17</v>
      </c>
      <c r="Z44" s="46">
        <f t="shared" si="17"/>
        <v>6.5539507940247301E-4</v>
      </c>
      <c r="AB44" s="45">
        <f t="shared" si="2"/>
        <v>1.36</v>
      </c>
      <c r="AC44" s="45">
        <f t="shared" si="3"/>
        <v>0.54</v>
      </c>
      <c r="AD44" s="45">
        <f t="shared" si="4"/>
        <v>0.27</v>
      </c>
      <c r="AE44" s="45">
        <f t="shared" si="5"/>
        <v>2.17</v>
      </c>
      <c r="AF44" s="46">
        <f t="shared" si="6"/>
        <v>0.24884792626728114</v>
      </c>
    </row>
    <row r="45" spans="1:32" x14ac:dyDescent="0.25">
      <c r="A45" s="13" t="s">
        <v>47</v>
      </c>
      <c r="B45" s="109">
        <v>0.5</v>
      </c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>
        <v>0.66</v>
      </c>
      <c r="R45" s="109">
        <v>0.2</v>
      </c>
      <c r="S45" s="109"/>
      <c r="T45" s="109"/>
      <c r="U45" s="109">
        <v>0.06</v>
      </c>
      <c r="V45" s="109">
        <v>0.15</v>
      </c>
      <c r="W45" s="109">
        <v>0.33</v>
      </c>
      <c r="X45" s="109">
        <v>0.27</v>
      </c>
      <c r="Y45" s="109">
        <v>2.17</v>
      </c>
      <c r="Z45" s="26">
        <f t="shared" si="17"/>
        <v>6.5539507940247301E-4</v>
      </c>
      <c r="AB45" s="109">
        <f t="shared" si="2"/>
        <v>1.36</v>
      </c>
      <c r="AC45" s="109">
        <f t="shared" si="3"/>
        <v>0.54</v>
      </c>
      <c r="AD45" s="109">
        <f t="shared" si="4"/>
        <v>0.27</v>
      </c>
      <c r="AE45" s="109">
        <f t="shared" si="5"/>
        <v>2.17</v>
      </c>
      <c r="AF45" s="26">
        <f t="shared" si="6"/>
        <v>0.24884792626728114</v>
      </c>
    </row>
    <row r="46" spans="1:32" x14ac:dyDescent="0.25">
      <c r="A46" s="44" t="s">
        <v>58</v>
      </c>
      <c r="B46" s="45">
        <f>SUM(B47:B49)</f>
        <v>3.5700000000000003</v>
      </c>
      <c r="C46" s="45">
        <f t="shared" ref="C46:Y46" si="20">SUM(C47:C49)</f>
        <v>0.08</v>
      </c>
      <c r="D46" s="45">
        <f t="shared" si="20"/>
        <v>0</v>
      </c>
      <c r="E46" s="45">
        <f t="shared" si="20"/>
        <v>0</v>
      </c>
      <c r="F46" s="45">
        <f t="shared" si="20"/>
        <v>0</v>
      </c>
      <c r="G46" s="45">
        <f t="shared" si="20"/>
        <v>0.17</v>
      </c>
      <c r="H46" s="45">
        <f t="shared" si="20"/>
        <v>0.03</v>
      </c>
      <c r="I46" s="45">
        <f t="shared" si="20"/>
        <v>0</v>
      </c>
      <c r="J46" s="45">
        <f t="shared" si="20"/>
        <v>0</v>
      </c>
      <c r="K46" s="45">
        <f t="shared" si="20"/>
        <v>0</v>
      </c>
      <c r="L46" s="45">
        <f t="shared" si="20"/>
        <v>0</v>
      </c>
      <c r="M46" s="45">
        <f t="shared" si="20"/>
        <v>0</v>
      </c>
      <c r="N46" s="45">
        <f t="shared" si="20"/>
        <v>0</v>
      </c>
      <c r="O46" s="45">
        <f t="shared" si="20"/>
        <v>0.01</v>
      </c>
      <c r="P46" s="45">
        <f t="shared" si="20"/>
        <v>0.04</v>
      </c>
      <c r="Q46" s="45">
        <f t="shared" si="20"/>
        <v>0</v>
      </c>
      <c r="R46" s="45">
        <f t="shared" si="20"/>
        <v>0</v>
      </c>
      <c r="S46" s="45">
        <f t="shared" si="20"/>
        <v>0</v>
      </c>
      <c r="T46" s="45">
        <f t="shared" si="20"/>
        <v>0</v>
      </c>
      <c r="U46" s="45">
        <f t="shared" si="20"/>
        <v>0</v>
      </c>
      <c r="V46" s="45">
        <f t="shared" si="20"/>
        <v>0.02</v>
      </c>
      <c r="W46" s="45">
        <f t="shared" si="20"/>
        <v>0</v>
      </c>
      <c r="X46" s="45">
        <f t="shared" si="20"/>
        <v>0</v>
      </c>
      <c r="Y46" s="45">
        <f t="shared" si="20"/>
        <v>3.9200000000000004</v>
      </c>
      <c r="Z46" s="46">
        <f t="shared" si="17"/>
        <v>1.1839394982754352E-3</v>
      </c>
      <c r="AB46" s="45">
        <f t="shared" si="2"/>
        <v>3.9</v>
      </c>
      <c r="AC46" s="45">
        <f t="shared" si="3"/>
        <v>0.02</v>
      </c>
      <c r="AD46" s="45">
        <f t="shared" si="4"/>
        <v>0</v>
      </c>
      <c r="AE46" s="45">
        <f t="shared" si="5"/>
        <v>3.92</v>
      </c>
      <c r="AF46" s="46">
        <f t="shared" si="6"/>
        <v>5.1020408163265311E-3</v>
      </c>
    </row>
    <row r="47" spans="1:32" x14ac:dyDescent="0.25">
      <c r="A47" s="13" t="s">
        <v>48</v>
      </c>
      <c r="B47" s="14">
        <v>0.02</v>
      </c>
      <c r="C47" s="14"/>
      <c r="D47" s="14"/>
      <c r="E47" s="14"/>
      <c r="F47" s="14"/>
      <c r="G47" s="14">
        <v>0.13</v>
      </c>
      <c r="H47" s="14"/>
      <c r="I47" s="14"/>
      <c r="J47" s="14"/>
      <c r="K47" s="14"/>
      <c r="L47" s="14"/>
      <c r="M47" s="14"/>
      <c r="N47" s="14"/>
      <c r="O47" s="14">
        <v>0.01</v>
      </c>
      <c r="P47" s="14"/>
      <c r="Q47" s="14"/>
      <c r="R47" s="14"/>
      <c r="S47" s="14"/>
      <c r="T47" s="14"/>
      <c r="U47" s="14"/>
      <c r="V47" s="14">
        <v>0.02</v>
      </c>
      <c r="W47" s="14"/>
      <c r="X47" s="14"/>
      <c r="Y47" s="109">
        <v>0.18</v>
      </c>
      <c r="Z47" s="26">
        <f t="shared" si="17"/>
        <v>5.4364568798361814E-5</v>
      </c>
      <c r="AB47" s="14">
        <f t="shared" si="2"/>
        <v>0.16</v>
      </c>
      <c r="AC47" s="14">
        <f t="shared" si="3"/>
        <v>0.02</v>
      </c>
      <c r="AD47" s="14">
        <f t="shared" si="4"/>
        <v>0</v>
      </c>
      <c r="AE47" s="109">
        <f t="shared" si="5"/>
        <v>0.18</v>
      </c>
      <c r="AF47" s="26">
        <f t="shared" si="6"/>
        <v>0.11111111111111112</v>
      </c>
    </row>
    <row r="48" spans="1:32" x14ac:dyDescent="0.25">
      <c r="A48" s="13" t="s">
        <v>72</v>
      </c>
      <c r="B48" s="14">
        <v>3.37</v>
      </c>
      <c r="C48" s="14">
        <v>0.08</v>
      </c>
      <c r="D48" s="14"/>
      <c r="E48" s="14"/>
      <c r="F48" s="14"/>
      <c r="G48" s="14">
        <v>0.04</v>
      </c>
      <c r="H48" s="14">
        <v>0.03</v>
      </c>
      <c r="I48" s="14"/>
      <c r="J48" s="14"/>
      <c r="K48" s="14"/>
      <c r="L48" s="14"/>
      <c r="M48" s="14"/>
      <c r="N48" s="14"/>
      <c r="O48" s="14"/>
      <c r="P48" s="14">
        <v>0.04</v>
      </c>
      <c r="Q48" s="14"/>
      <c r="R48" s="14"/>
      <c r="S48" s="14"/>
      <c r="T48" s="14"/>
      <c r="U48" s="14"/>
      <c r="V48" s="14"/>
      <c r="W48" s="14"/>
      <c r="X48" s="14"/>
      <c r="Y48" s="109">
        <v>3.56</v>
      </c>
      <c r="Z48" s="26"/>
      <c r="AB48" s="14">
        <f t="shared" si="2"/>
        <v>3.56</v>
      </c>
      <c r="AC48" s="14">
        <f t="shared" si="3"/>
        <v>0</v>
      </c>
      <c r="AD48" s="14">
        <f t="shared" si="4"/>
        <v>0</v>
      </c>
      <c r="AE48" s="109">
        <f t="shared" si="5"/>
        <v>3.56</v>
      </c>
      <c r="AF48" s="26">
        <f t="shared" si="6"/>
        <v>0</v>
      </c>
    </row>
    <row r="49" spans="1:32" x14ac:dyDescent="0.25">
      <c r="A49" s="151" t="s">
        <v>73</v>
      </c>
      <c r="B49" s="14">
        <v>0.18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09">
        <v>0.18</v>
      </c>
      <c r="Z49" s="26">
        <f>Y49/$Y$50</f>
        <v>5.4364568798361814E-5</v>
      </c>
      <c r="AB49" s="14">
        <f t="shared" si="2"/>
        <v>0.18</v>
      </c>
      <c r="AC49" s="14">
        <f t="shared" si="3"/>
        <v>0</v>
      </c>
      <c r="AD49" s="14">
        <f t="shared" si="4"/>
        <v>0</v>
      </c>
      <c r="AE49" s="109">
        <f t="shared" si="5"/>
        <v>0.18</v>
      </c>
      <c r="AF49" s="26">
        <f t="shared" si="6"/>
        <v>0</v>
      </c>
    </row>
    <row r="50" spans="1:32" x14ac:dyDescent="0.25">
      <c r="A50" s="47" t="s">
        <v>59</v>
      </c>
      <c r="B50" s="48">
        <f>SUM(B46+B44+B42+B37+B34+B29+B27+B22+B18+B14+B12+B8+B5)</f>
        <v>2938.31</v>
      </c>
      <c r="C50" s="48">
        <f t="shared" ref="C50:Y50" si="21">SUM(C46+C44+C42+C37+C34+C29+C27+C22+C18+C14+C12+C8+C5)</f>
        <v>98.100000000000009</v>
      </c>
      <c r="D50" s="48">
        <f t="shared" si="21"/>
        <v>16.850000000000001</v>
      </c>
      <c r="E50" s="48">
        <f t="shared" si="21"/>
        <v>2.96</v>
      </c>
      <c r="F50" s="48">
        <f t="shared" si="21"/>
        <v>3.71</v>
      </c>
      <c r="G50" s="48">
        <f t="shared" si="21"/>
        <v>9.4899999999999984</v>
      </c>
      <c r="H50" s="48">
        <f t="shared" si="21"/>
        <v>9.36</v>
      </c>
      <c r="I50" s="48">
        <f t="shared" si="21"/>
        <v>3.64</v>
      </c>
      <c r="J50" s="48">
        <f t="shared" si="21"/>
        <v>4.21</v>
      </c>
      <c r="K50" s="48">
        <f t="shared" si="21"/>
        <v>6.3</v>
      </c>
      <c r="L50" s="48">
        <f t="shared" si="21"/>
        <v>2.08</v>
      </c>
      <c r="M50" s="48">
        <f t="shared" si="21"/>
        <v>9.7899999999999991</v>
      </c>
      <c r="N50" s="48">
        <f t="shared" si="21"/>
        <v>3.08</v>
      </c>
      <c r="O50" s="48">
        <f t="shared" si="21"/>
        <v>13.029999999999998</v>
      </c>
      <c r="P50" s="48">
        <f t="shared" si="21"/>
        <v>2.9499999999999997</v>
      </c>
      <c r="Q50" s="48">
        <f t="shared" si="21"/>
        <v>12.169999999999998</v>
      </c>
      <c r="R50" s="48">
        <f t="shared" si="21"/>
        <v>30.659999999999997</v>
      </c>
      <c r="S50" s="48">
        <f t="shared" si="21"/>
        <v>28.700000000000003</v>
      </c>
      <c r="T50" s="48">
        <f t="shared" si="21"/>
        <v>32.96</v>
      </c>
      <c r="U50" s="48">
        <f t="shared" si="21"/>
        <v>29.009999999999998</v>
      </c>
      <c r="V50" s="48">
        <f t="shared" si="21"/>
        <v>21.11</v>
      </c>
      <c r="W50" s="48">
        <f t="shared" si="21"/>
        <v>20.61</v>
      </c>
      <c r="X50" s="48">
        <f t="shared" si="21"/>
        <v>11.900000000000002</v>
      </c>
      <c r="Y50" s="48">
        <f t="shared" si="21"/>
        <v>3310.98</v>
      </c>
      <c r="Z50" s="55">
        <f>Y50/$Y$50</f>
        <v>1</v>
      </c>
      <c r="AB50" s="48">
        <f t="shared" si="2"/>
        <v>3195.3899999999994</v>
      </c>
      <c r="AC50" s="48">
        <f t="shared" si="3"/>
        <v>103.69</v>
      </c>
      <c r="AD50" s="48">
        <f t="shared" si="4"/>
        <v>11.900000000000002</v>
      </c>
      <c r="AE50" s="48">
        <f t="shared" si="5"/>
        <v>3310.9799999999996</v>
      </c>
      <c r="AF50" s="55">
        <f>AC50/AE50</f>
        <v>3.1317011881678541E-2</v>
      </c>
    </row>
    <row r="51" spans="1:32" x14ac:dyDescent="0.25">
      <c r="A51" s="151" t="s">
        <v>289</v>
      </c>
      <c r="C51" s="162">
        <f>B50+C50</f>
        <v>3036.41</v>
      </c>
      <c r="D51" s="162">
        <f>C51+D50</f>
        <v>3053.2599999999998</v>
      </c>
      <c r="E51" s="162">
        <f t="shared" ref="E51:W51" si="22">D51+E50</f>
        <v>3056.22</v>
      </c>
      <c r="F51" s="162">
        <f t="shared" si="22"/>
        <v>3059.93</v>
      </c>
      <c r="G51" s="162">
        <f t="shared" si="22"/>
        <v>3069.4199999999996</v>
      </c>
      <c r="H51" s="162">
        <f t="shared" si="22"/>
        <v>3078.7799999999997</v>
      </c>
      <c r="I51" s="162">
        <f t="shared" si="22"/>
        <v>3082.4199999999996</v>
      </c>
      <c r="J51" s="162">
        <f t="shared" si="22"/>
        <v>3086.6299999999997</v>
      </c>
      <c r="K51" s="162">
        <f t="shared" si="22"/>
        <v>3092.93</v>
      </c>
      <c r="L51" s="162">
        <f t="shared" si="22"/>
        <v>3095.0099999999998</v>
      </c>
      <c r="M51" s="162">
        <f t="shared" si="22"/>
        <v>3104.7999999999997</v>
      </c>
      <c r="N51" s="162">
        <f t="shared" si="22"/>
        <v>3107.8799999999997</v>
      </c>
      <c r="O51" s="162">
        <f t="shared" si="22"/>
        <v>3120.91</v>
      </c>
      <c r="P51" s="162">
        <f t="shared" si="22"/>
        <v>3123.8599999999997</v>
      </c>
      <c r="Q51" s="162">
        <f t="shared" si="22"/>
        <v>3136.0299999999997</v>
      </c>
      <c r="R51" s="162">
        <f t="shared" si="22"/>
        <v>3166.6899999999996</v>
      </c>
      <c r="S51" s="162">
        <f t="shared" si="22"/>
        <v>3195.3899999999994</v>
      </c>
      <c r="T51" s="162">
        <f t="shared" si="22"/>
        <v>3228.3499999999995</v>
      </c>
      <c r="U51" s="162">
        <f t="shared" si="22"/>
        <v>3257.3599999999997</v>
      </c>
      <c r="V51" s="162">
        <f t="shared" si="22"/>
        <v>3278.47</v>
      </c>
      <c r="W51" s="162">
        <f t="shared" si="22"/>
        <v>3299.08</v>
      </c>
    </row>
    <row r="52" spans="1:32" x14ac:dyDescent="0.25">
      <c r="A52" s="151" t="s">
        <v>290</v>
      </c>
      <c r="D52" s="165">
        <f>D51/C51-1</f>
        <v>5.5493164625330937E-3</v>
      </c>
      <c r="E52" s="165">
        <f t="shared" ref="E52:W52" si="23">E51/D51-1</f>
        <v>9.6945559827865679E-4</v>
      </c>
      <c r="F52" s="165">
        <f t="shared" si="23"/>
        <v>1.2139178462282629E-3</v>
      </c>
      <c r="G52" s="165">
        <f t="shared" si="23"/>
        <v>3.1013781361011183E-3</v>
      </c>
      <c r="H52" s="165">
        <f t="shared" si="23"/>
        <v>3.0494360498074524E-3</v>
      </c>
      <c r="I52" s="165">
        <f t="shared" si="23"/>
        <v>1.1822864901032126E-3</v>
      </c>
      <c r="J52" s="165">
        <f t="shared" si="23"/>
        <v>1.3658099804698676E-3</v>
      </c>
      <c r="K52" s="165">
        <f t="shared" si="23"/>
        <v>2.0410609629273324E-3</v>
      </c>
      <c r="L52" s="165">
        <f t="shared" si="23"/>
        <v>6.725014791799655E-4</v>
      </c>
      <c r="M52" s="165">
        <f t="shared" si="23"/>
        <v>3.1631561772014205E-3</v>
      </c>
      <c r="N52" s="165">
        <f t="shared" si="23"/>
        <v>9.9201236794632663E-4</v>
      </c>
      <c r="O52" s="165">
        <f t="shared" si="23"/>
        <v>4.1925685676409419E-3</v>
      </c>
      <c r="P52" s="165">
        <f t="shared" si="23"/>
        <v>9.452371263509729E-4</v>
      </c>
      <c r="Q52" s="165">
        <f t="shared" si="23"/>
        <v>3.8958211955721911E-3</v>
      </c>
      <c r="R52" s="165">
        <f t="shared" si="23"/>
        <v>9.7766921872557422E-3</v>
      </c>
      <c r="S52" s="165">
        <f t="shared" si="23"/>
        <v>9.0630911140654469E-3</v>
      </c>
      <c r="T52" s="165">
        <f t="shared" si="23"/>
        <v>1.0314859844964275E-2</v>
      </c>
      <c r="U52" s="165">
        <f t="shared" si="23"/>
        <v>8.9860145275451053E-3</v>
      </c>
      <c r="V52" s="165">
        <f t="shared" si="23"/>
        <v>6.4807083036568791E-3</v>
      </c>
      <c r="W52" s="165">
        <f t="shared" si="23"/>
        <v>6.2864689931583229E-3</v>
      </c>
    </row>
    <row r="54" spans="1:32" ht="15.75" x14ac:dyDescent="0.25">
      <c r="A54" s="40" t="s">
        <v>94</v>
      </c>
      <c r="B54" s="41" t="s">
        <v>88</v>
      </c>
      <c r="C54" s="41">
        <v>2000</v>
      </c>
      <c r="D54" s="41">
        <v>2001</v>
      </c>
      <c r="E54" s="41">
        <v>2002</v>
      </c>
      <c r="F54" s="41">
        <v>2003</v>
      </c>
      <c r="G54" s="41">
        <v>2004</v>
      </c>
      <c r="H54" s="41">
        <v>2005</v>
      </c>
      <c r="I54" s="41">
        <v>2006</v>
      </c>
      <c r="J54" s="41">
        <v>2007</v>
      </c>
      <c r="K54" s="41">
        <v>2008</v>
      </c>
      <c r="L54" s="41">
        <v>2009</v>
      </c>
      <c r="M54" s="41">
        <v>2010</v>
      </c>
      <c r="N54" s="41">
        <v>2011</v>
      </c>
      <c r="O54" s="41">
        <v>2012</v>
      </c>
      <c r="P54" s="41">
        <v>2013</v>
      </c>
      <c r="Q54" s="41">
        <v>2014</v>
      </c>
      <c r="R54" s="41">
        <v>2015</v>
      </c>
      <c r="S54" s="41">
        <v>2016</v>
      </c>
      <c r="T54" s="41">
        <v>2017</v>
      </c>
      <c r="U54" s="41">
        <v>2018</v>
      </c>
      <c r="V54" s="41">
        <v>2019</v>
      </c>
      <c r="W54" s="41">
        <v>2020</v>
      </c>
      <c r="X54" s="42" t="s">
        <v>89</v>
      </c>
    </row>
    <row r="55" spans="1:32" x14ac:dyDescent="0.25">
      <c r="A55" s="43" t="s">
        <v>49</v>
      </c>
      <c r="B55" s="26">
        <f t="shared" ref="B55:W55" si="24">B5/$Y$5</f>
        <v>0</v>
      </c>
      <c r="C55" s="26">
        <f t="shared" si="24"/>
        <v>0</v>
      </c>
      <c r="D55" s="26">
        <f t="shared" si="24"/>
        <v>0</v>
      </c>
      <c r="E55" s="26">
        <f t="shared" si="24"/>
        <v>0</v>
      </c>
      <c r="F55" s="26">
        <f t="shared" si="24"/>
        <v>0</v>
      </c>
      <c r="G55" s="26">
        <f t="shared" si="24"/>
        <v>0.2</v>
      </c>
      <c r="H55" s="26">
        <f t="shared" si="24"/>
        <v>0</v>
      </c>
      <c r="I55" s="26">
        <f t="shared" si="24"/>
        <v>0</v>
      </c>
      <c r="J55" s="26">
        <f t="shared" si="24"/>
        <v>0</v>
      </c>
      <c r="K55" s="26">
        <f t="shared" si="24"/>
        <v>0</v>
      </c>
      <c r="L55" s="26">
        <f t="shared" si="24"/>
        <v>0</v>
      </c>
      <c r="M55" s="26">
        <f t="shared" si="24"/>
        <v>0</v>
      </c>
      <c r="N55" s="26">
        <f t="shared" si="24"/>
        <v>0</v>
      </c>
      <c r="O55" s="26">
        <f t="shared" si="24"/>
        <v>0</v>
      </c>
      <c r="P55" s="26">
        <f t="shared" si="24"/>
        <v>0</v>
      </c>
      <c r="Q55" s="26">
        <f t="shared" si="24"/>
        <v>0</v>
      </c>
      <c r="R55" s="26">
        <f t="shared" si="24"/>
        <v>0</v>
      </c>
      <c r="S55" s="26">
        <f t="shared" si="24"/>
        <v>0</v>
      </c>
      <c r="T55" s="26">
        <f t="shared" si="24"/>
        <v>0</v>
      </c>
      <c r="U55" s="26">
        <f t="shared" si="24"/>
        <v>0</v>
      </c>
      <c r="V55" s="26">
        <f t="shared" si="24"/>
        <v>0</v>
      </c>
      <c r="W55" s="26">
        <f t="shared" si="24"/>
        <v>0.8</v>
      </c>
      <c r="X55" s="54">
        <f>X5/Y5</f>
        <v>0</v>
      </c>
    </row>
    <row r="56" spans="1:32" x14ac:dyDescent="0.25">
      <c r="A56" s="43" t="s">
        <v>50</v>
      </c>
      <c r="B56" s="26">
        <f t="shared" ref="B56:W56" si="25">B8/$Y$8</f>
        <v>0.76685272649205682</v>
      </c>
      <c r="C56" s="26">
        <f t="shared" si="25"/>
        <v>3.0055817947616997E-2</v>
      </c>
      <c r="D56" s="26">
        <f t="shared" si="25"/>
        <v>0</v>
      </c>
      <c r="E56" s="26">
        <f t="shared" si="25"/>
        <v>0</v>
      </c>
      <c r="F56" s="26">
        <f t="shared" si="25"/>
        <v>9.4461142121081993E-3</v>
      </c>
      <c r="G56" s="26">
        <f t="shared" si="25"/>
        <v>0</v>
      </c>
      <c r="H56" s="26">
        <f t="shared" si="25"/>
        <v>6.8699012451696002E-3</v>
      </c>
      <c r="I56" s="26">
        <f t="shared" si="25"/>
        <v>0</v>
      </c>
      <c r="J56" s="26">
        <f t="shared" si="25"/>
        <v>0</v>
      </c>
      <c r="K56" s="26">
        <f t="shared" si="25"/>
        <v>0</v>
      </c>
      <c r="L56" s="26">
        <f t="shared" si="25"/>
        <v>1.3310433662516099E-2</v>
      </c>
      <c r="M56" s="26">
        <f t="shared" si="25"/>
        <v>3.0055817947617003E-3</v>
      </c>
      <c r="N56" s="26">
        <f t="shared" si="25"/>
        <v>0</v>
      </c>
      <c r="O56" s="26">
        <f t="shared" si="25"/>
        <v>1.2451696006869899E-2</v>
      </c>
      <c r="P56" s="26">
        <f t="shared" si="25"/>
        <v>0</v>
      </c>
      <c r="Q56" s="26">
        <f t="shared" si="25"/>
        <v>0</v>
      </c>
      <c r="R56" s="26">
        <f t="shared" si="25"/>
        <v>7.4710176041219392E-2</v>
      </c>
      <c r="S56" s="26">
        <f t="shared" si="25"/>
        <v>4.2936882782310001E-4</v>
      </c>
      <c r="T56" s="26">
        <f t="shared" si="25"/>
        <v>8.2009446114212098E-2</v>
      </c>
      <c r="U56" s="26">
        <f t="shared" si="25"/>
        <v>0</v>
      </c>
      <c r="V56" s="26">
        <f t="shared" si="25"/>
        <v>0</v>
      </c>
      <c r="W56" s="26">
        <f t="shared" si="25"/>
        <v>0</v>
      </c>
      <c r="X56" s="52">
        <f>X8/Y8</f>
        <v>8.5873765564620003E-4</v>
      </c>
    </row>
    <row r="57" spans="1:32" x14ac:dyDescent="0.25">
      <c r="A57" s="43" t="s">
        <v>63</v>
      </c>
      <c r="B57" s="26">
        <f t="shared" ref="B57:W57" si="26">B12/$Y$12</f>
        <v>2.2222222222222223E-2</v>
      </c>
      <c r="C57" s="26">
        <f t="shared" si="26"/>
        <v>0</v>
      </c>
      <c r="D57" s="26">
        <f t="shared" si="26"/>
        <v>0</v>
      </c>
      <c r="E57" s="26">
        <f t="shared" si="26"/>
        <v>0</v>
      </c>
      <c r="F57" s="26">
        <f t="shared" si="26"/>
        <v>0</v>
      </c>
      <c r="G57" s="26">
        <f t="shared" si="26"/>
        <v>0</v>
      </c>
      <c r="H57" s="26">
        <f t="shared" si="26"/>
        <v>0</v>
      </c>
      <c r="I57" s="26">
        <f t="shared" si="26"/>
        <v>0</v>
      </c>
      <c r="J57" s="26">
        <f t="shared" si="26"/>
        <v>0</v>
      </c>
      <c r="K57" s="26">
        <f t="shared" si="26"/>
        <v>0</v>
      </c>
      <c r="L57" s="26">
        <f t="shared" si="26"/>
        <v>0</v>
      </c>
      <c r="M57" s="26">
        <f t="shared" si="26"/>
        <v>0</v>
      </c>
      <c r="N57" s="26">
        <f t="shared" si="26"/>
        <v>0</v>
      </c>
      <c r="O57" s="26">
        <f t="shared" si="26"/>
        <v>0</v>
      </c>
      <c r="P57" s="26">
        <f t="shared" si="26"/>
        <v>0.46666666666666662</v>
      </c>
      <c r="Q57" s="26">
        <f t="shared" si="26"/>
        <v>0</v>
      </c>
      <c r="R57" s="26">
        <f t="shared" si="26"/>
        <v>0</v>
      </c>
      <c r="S57" s="26">
        <f t="shared" si="26"/>
        <v>0</v>
      </c>
      <c r="T57" s="26">
        <f t="shared" si="26"/>
        <v>0.51111111111111107</v>
      </c>
      <c r="U57" s="26">
        <f t="shared" si="26"/>
        <v>0</v>
      </c>
      <c r="V57" s="26">
        <f t="shared" si="26"/>
        <v>0</v>
      </c>
      <c r="W57" s="26">
        <f t="shared" si="26"/>
        <v>0</v>
      </c>
      <c r="X57" s="54">
        <f>X12/Y12</f>
        <v>0</v>
      </c>
    </row>
    <row r="58" spans="1:32" x14ac:dyDescent="0.25">
      <c r="A58" s="43" t="s">
        <v>60</v>
      </c>
      <c r="B58" s="26">
        <f>B14/$Y$14</f>
        <v>0.91856768234666164</v>
      </c>
      <c r="C58" s="26">
        <f t="shared" ref="C58:W58" si="27">C14/$Y$14</f>
        <v>1.3947227959434684E-2</v>
      </c>
      <c r="D58" s="26">
        <f t="shared" si="27"/>
        <v>0</v>
      </c>
      <c r="E58" s="26">
        <f t="shared" si="27"/>
        <v>0</v>
      </c>
      <c r="F58" s="26">
        <f t="shared" si="27"/>
        <v>0</v>
      </c>
      <c r="G58" s="26">
        <f t="shared" si="27"/>
        <v>0</v>
      </c>
      <c r="H58" s="26">
        <f t="shared" si="27"/>
        <v>0</v>
      </c>
      <c r="I58" s="26">
        <f t="shared" si="27"/>
        <v>0</v>
      </c>
      <c r="J58" s="26">
        <f t="shared" si="27"/>
        <v>5.5696085029356462E-4</v>
      </c>
      <c r="K58" s="26">
        <f t="shared" si="27"/>
        <v>0</v>
      </c>
      <c r="L58" s="26">
        <f t="shared" si="27"/>
        <v>0</v>
      </c>
      <c r="M58" s="26">
        <f t="shared" si="27"/>
        <v>2.3670836137476498E-3</v>
      </c>
      <c r="N58" s="26">
        <f t="shared" si="27"/>
        <v>0</v>
      </c>
      <c r="O58" s="26">
        <f t="shared" si="27"/>
        <v>1.5734144020793199E-2</v>
      </c>
      <c r="P58" s="26">
        <f t="shared" si="27"/>
        <v>0</v>
      </c>
      <c r="Q58" s="26">
        <f t="shared" si="27"/>
        <v>7.8206586062054707E-3</v>
      </c>
      <c r="R58" s="26">
        <f t="shared" si="27"/>
        <v>5.5696085029356465E-3</v>
      </c>
      <c r="S58" s="26">
        <f t="shared" si="27"/>
        <v>0</v>
      </c>
      <c r="T58" s="26">
        <f t="shared" si="27"/>
        <v>2.7615975493722579E-3</v>
      </c>
      <c r="U58" s="26">
        <f t="shared" si="27"/>
        <v>6.7763570119050371E-3</v>
      </c>
      <c r="V58" s="26">
        <f t="shared" si="27"/>
        <v>8.8185467963147746E-4</v>
      </c>
      <c r="W58" s="26">
        <f t="shared" si="27"/>
        <v>2.7615975493722579E-3</v>
      </c>
      <c r="X58" s="54">
        <f>X14/Y14</f>
        <v>2.2255227309647026E-2</v>
      </c>
    </row>
    <row r="59" spans="1:32" x14ac:dyDescent="0.25">
      <c r="A59" s="43" t="s">
        <v>53</v>
      </c>
      <c r="B59" s="26">
        <f t="shared" ref="B59:V59" si="28">B18/$Y$18</f>
        <v>0</v>
      </c>
      <c r="C59" s="26">
        <f t="shared" si="28"/>
        <v>2.8436018957345974E-2</v>
      </c>
      <c r="D59" s="26">
        <f t="shared" si="28"/>
        <v>0</v>
      </c>
      <c r="E59" s="26">
        <f t="shared" si="28"/>
        <v>2.132701421800948E-2</v>
      </c>
      <c r="F59" s="26">
        <f t="shared" si="28"/>
        <v>0</v>
      </c>
      <c r="G59" s="26">
        <f t="shared" si="28"/>
        <v>0</v>
      </c>
      <c r="H59" s="26">
        <f t="shared" si="28"/>
        <v>0</v>
      </c>
      <c r="I59" s="26">
        <f t="shared" si="28"/>
        <v>0</v>
      </c>
      <c r="J59" s="26">
        <f t="shared" si="28"/>
        <v>0.18957345971563982</v>
      </c>
      <c r="K59" s="26">
        <f t="shared" si="28"/>
        <v>0</v>
      </c>
      <c r="L59" s="26">
        <f t="shared" si="28"/>
        <v>0</v>
      </c>
      <c r="M59" s="26">
        <f t="shared" si="28"/>
        <v>0</v>
      </c>
      <c r="N59" s="26">
        <f t="shared" si="28"/>
        <v>0</v>
      </c>
      <c r="O59" s="26">
        <f t="shared" si="28"/>
        <v>0</v>
      </c>
      <c r="P59" s="26">
        <f t="shared" si="28"/>
        <v>0</v>
      </c>
      <c r="Q59" s="26">
        <f t="shared" si="28"/>
        <v>0</v>
      </c>
      <c r="R59" s="26">
        <f t="shared" si="28"/>
        <v>0</v>
      </c>
      <c r="S59" s="26">
        <f t="shared" si="28"/>
        <v>0</v>
      </c>
      <c r="T59" s="26">
        <f t="shared" si="28"/>
        <v>0</v>
      </c>
      <c r="U59" s="26">
        <f t="shared" si="28"/>
        <v>0</v>
      </c>
      <c r="V59" s="26">
        <f t="shared" si="28"/>
        <v>0</v>
      </c>
      <c r="W59" s="26">
        <f>W18/$Y$18</f>
        <v>0.51184834123222755</v>
      </c>
      <c r="X59" s="54">
        <f>X18/Y18</f>
        <v>0.24881516587677727</v>
      </c>
    </row>
    <row r="60" spans="1:32" x14ac:dyDescent="0.25">
      <c r="A60" s="43" t="s">
        <v>52</v>
      </c>
      <c r="B60" s="26">
        <f t="shared" ref="B60:W60" si="29">B22/$Y$22</f>
        <v>0.15813953488372096</v>
      </c>
      <c r="C60" s="26">
        <f t="shared" si="29"/>
        <v>0</v>
      </c>
      <c r="D60" s="26">
        <f t="shared" si="29"/>
        <v>0</v>
      </c>
      <c r="E60" s="26">
        <f t="shared" si="29"/>
        <v>0</v>
      </c>
      <c r="F60" s="26">
        <f t="shared" si="29"/>
        <v>0</v>
      </c>
      <c r="G60" s="26">
        <f t="shared" si="29"/>
        <v>0</v>
      </c>
      <c r="H60" s="26">
        <f t="shared" si="29"/>
        <v>0</v>
      </c>
      <c r="I60" s="26">
        <f t="shared" si="29"/>
        <v>0</v>
      </c>
      <c r="J60" s="26">
        <f t="shared" si="29"/>
        <v>0</v>
      </c>
      <c r="K60" s="26">
        <f t="shared" si="29"/>
        <v>0</v>
      </c>
      <c r="L60" s="26">
        <f t="shared" si="29"/>
        <v>0</v>
      </c>
      <c r="M60" s="26">
        <f t="shared" si="29"/>
        <v>0.2930232558139535</v>
      </c>
      <c r="N60" s="26">
        <f t="shared" si="29"/>
        <v>1.3953488372093023E-2</v>
      </c>
      <c r="O60" s="26">
        <f t="shared" si="29"/>
        <v>0.24883720930232561</v>
      </c>
      <c r="P60" s="26">
        <f t="shared" si="29"/>
        <v>0</v>
      </c>
      <c r="Q60" s="26">
        <f t="shared" si="29"/>
        <v>0</v>
      </c>
      <c r="R60" s="26">
        <f t="shared" si="29"/>
        <v>0.11162790697674418</v>
      </c>
      <c r="S60" s="26">
        <f t="shared" si="29"/>
        <v>0.10930232558139534</v>
      </c>
      <c r="T60" s="26">
        <f t="shared" si="29"/>
        <v>0</v>
      </c>
      <c r="U60" s="26">
        <f t="shared" si="29"/>
        <v>0</v>
      </c>
      <c r="V60" s="26">
        <f t="shared" si="29"/>
        <v>6.5116279069767455E-2</v>
      </c>
      <c r="W60" s="26">
        <f t="shared" si="29"/>
        <v>0</v>
      </c>
      <c r="X60" s="54">
        <f>X22/Y22</f>
        <v>0</v>
      </c>
    </row>
    <row r="61" spans="1:32" x14ac:dyDescent="0.25">
      <c r="A61" s="43" t="s">
        <v>65</v>
      </c>
      <c r="B61" s="26">
        <f t="shared" ref="B61:W61" si="30">B27/$Y$27</f>
        <v>0</v>
      </c>
      <c r="C61" s="26">
        <f t="shared" si="30"/>
        <v>0</v>
      </c>
      <c r="D61" s="26">
        <f t="shared" si="30"/>
        <v>0</v>
      </c>
      <c r="E61" s="26">
        <f t="shared" si="30"/>
        <v>0</v>
      </c>
      <c r="F61" s="26">
        <f t="shared" si="30"/>
        <v>0</v>
      </c>
      <c r="G61" s="26">
        <f t="shared" si="30"/>
        <v>0</v>
      </c>
      <c r="H61" s="26">
        <f t="shared" si="30"/>
        <v>0</v>
      </c>
      <c r="I61" s="26">
        <f t="shared" si="30"/>
        <v>0</v>
      </c>
      <c r="J61" s="26">
        <f t="shared" si="30"/>
        <v>0</v>
      </c>
      <c r="K61" s="26">
        <f t="shared" si="30"/>
        <v>0</v>
      </c>
      <c r="L61" s="26">
        <f t="shared" si="30"/>
        <v>0</v>
      </c>
      <c r="M61" s="26">
        <f t="shared" si="30"/>
        <v>0</v>
      </c>
      <c r="N61" s="26">
        <f t="shared" si="30"/>
        <v>0</v>
      </c>
      <c r="O61" s="26">
        <f t="shared" si="30"/>
        <v>0</v>
      </c>
      <c r="P61" s="26">
        <f t="shared" si="30"/>
        <v>0</v>
      </c>
      <c r="Q61" s="26">
        <f t="shared" si="30"/>
        <v>0</v>
      </c>
      <c r="R61" s="26">
        <f t="shared" si="30"/>
        <v>0</v>
      </c>
      <c r="S61" s="26">
        <f t="shared" si="30"/>
        <v>0</v>
      </c>
      <c r="T61" s="26">
        <f t="shared" si="30"/>
        <v>0</v>
      </c>
      <c r="U61" s="26">
        <f t="shared" si="30"/>
        <v>0</v>
      </c>
      <c r="V61" s="26">
        <f t="shared" si="30"/>
        <v>0</v>
      </c>
      <c r="W61" s="26">
        <f t="shared" si="30"/>
        <v>0</v>
      </c>
      <c r="X61" s="54">
        <f>X27/Y27</f>
        <v>1</v>
      </c>
    </row>
    <row r="62" spans="1:32" x14ac:dyDescent="0.25">
      <c r="A62" s="43" t="s">
        <v>51</v>
      </c>
      <c r="B62" s="26">
        <f t="shared" ref="B62:W62" si="31">B29/$Y$29</f>
        <v>0.88778631334132052</v>
      </c>
      <c r="C62" s="26">
        <f t="shared" si="31"/>
        <v>3.213404750158573E-2</v>
      </c>
      <c r="D62" s="26">
        <f t="shared" si="31"/>
        <v>5.937698216928607E-3</v>
      </c>
      <c r="E62" s="26">
        <f t="shared" si="31"/>
        <v>1.0113468179575728E-3</v>
      </c>
      <c r="F62" s="26">
        <f t="shared" si="31"/>
        <v>1.2298259214884768E-3</v>
      </c>
      <c r="G62" s="26">
        <f t="shared" si="31"/>
        <v>3.2736626964549997E-3</v>
      </c>
      <c r="H62" s="26">
        <f t="shared" si="31"/>
        <v>3.2313764183522446E-3</v>
      </c>
      <c r="I62" s="26">
        <f t="shared" si="31"/>
        <v>1.2826837691169216E-3</v>
      </c>
      <c r="J62" s="26">
        <f t="shared" si="31"/>
        <v>1.1170625132144619E-3</v>
      </c>
      <c r="K62" s="26">
        <f t="shared" si="31"/>
        <v>2.1566001832405385E-3</v>
      </c>
      <c r="L62" s="26">
        <f t="shared" si="31"/>
        <v>6.2372260201564594E-4</v>
      </c>
      <c r="M62" s="26">
        <f t="shared" si="31"/>
        <v>2.6217492423708504E-3</v>
      </c>
      <c r="N62" s="26">
        <f t="shared" si="31"/>
        <v>1.0642046655860173E-3</v>
      </c>
      <c r="O62" s="26">
        <f t="shared" si="31"/>
        <v>1.6491648460074703E-3</v>
      </c>
      <c r="P62" s="26">
        <f t="shared" si="31"/>
        <v>9.5144125731200214E-4</v>
      </c>
      <c r="Q62" s="26">
        <f t="shared" si="31"/>
        <v>2.8684191979702579E-3</v>
      </c>
      <c r="R62" s="26">
        <f t="shared" si="31"/>
        <v>9.0915497920924654E-3</v>
      </c>
      <c r="S62" s="26">
        <f t="shared" si="31"/>
        <v>9.9126083585876386E-3</v>
      </c>
      <c r="T62" s="26">
        <f t="shared" si="31"/>
        <v>1.03636619916837E-2</v>
      </c>
      <c r="U62" s="26">
        <f t="shared" si="31"/>
        <v>8.9646909577841983E-3</v>
      </c>
      <c r="V62" s="26">
        <f t="shared" si="31"/>
        <v>7.0477130171259419E-3</v>
      </c>
      <c r="W62" s="26">
        <f t="shared" si="31"/>
        <v>5.6804566918035081E-3</v>
      </c>
      <c r="X62" s="54">
        <f>X29/Y29</f>
        <v>0</v>
      </c>
    </row>
    <row r="63" spans="1:32" x14ac:dyDescent="0.25">
      <c r="A63" s="43" t="s">
        <v>54</v>
      </c>
      <c r="B63" s="26">
        <f t="shared" ref="B63:W63" si="32">B34/$Y$34</f>
        <v>0.21951219512195119</v>
      </c>
      <c r="C63" s="26">
        <f t="shared" si="32"/>
        <v>0</v>
      </c>
      <c r="D63" s="26">
        <f t="shared" si="32"/>
        <v>0</v>
      </c>
      <c r="E63" s="26">
        <f t="shared" si="32"/>
        <v>0</v>
      </c>
      <c r="F63" s="26">
        <f t="shared" si="32"/>
        <v>0</v>
      </c>
      <c r="G63" s="26">
        <f t="shared" si="32"/>
        <v>0</v>
      </c>
      <c r="H63" s="26">
        <f t="shared" si="32"/>
        <v>0</v>
      </c>
      <c r="I63" s="26">
        <f t="shared" si="32"/>
        <v>0</v>
      </c>
      <c r="J63" s="26">
        <f t="shared" si="32"/>
        <v>0</v>
      </c>
      <c r="K63" s="26">
        <f t="shared" si="32"/>
        <v>0</v>
      </c>
      <c r="L63" s="26">
        <f t="shared" si="32"/>
        <v>0</v>
      </c>
      <c r="M63" s="26">
        <f t="shared" si="32"/>
        <v>0</v>
      </c>
      <c r="N63" s="26">
        <f t="shared" si="32"/>
        <v>0</v>
      </c>
      <c r="O63" s="26">
        <f t="shared" si="32"/>
        <v>0.48780487804878048</v>
      </c>
      <c r="P63" s="26">
        <f t="shared" si="32"/>
        <v>0</v>
      </c>
      <c r="Q63" s="26">
        <f t="shared" si="32"/>
        <v>0</v>
      </c>
      <c r="R63" s="26">
        <f t="shared" si="32"/>
        <v>9.7560975609756087E-2</v>
      </c>
      <c r="S63" s="26">
        <f t="shared" si="32"/>
        <v>0</v>
      </c>
      <c r="T63" s="26">
        <f t="shared" si="32"/>
        <v>0</v>
      </c>
      <c r="U63" s="26">
        <f t="shared" si="32"/>
        <v>0</v>
      </c>
      <c r="V63" s="26">
        <f t="shared" si="32"/>
        <v>0</v>
      </c>
      <c r="W63" s="26">
        <f t="shared" si="32"/>
        <v>0.19512195121951217</v>
      </c>
      <c r="X63" s="54">
        <f>X34/Y34</f>
        <v>0</v>
      </c>
    </row>
    <row r="64" spans="1:32" x14ac:dyDescent="0.25">
      <c r="A64" s="43" t="s">
        <v>67</v>
      </c>
      <c r="B64" s="26">
        <f t="shared" ref="B64:W64" si="33">B37/$Y$37</f>
        <v>0</v>
      </c>
      <c r="C64" s="26">
        <f t="shared" si="33"/>
        <v>0</v>
      </c>
      <c r="D64" s="26">
        <f t="shared" si="33"/>
        <v>0</v>
      </c>
      <c r="E64" s="26">
        <f t="shared" si="33"/>
        <v>0</v>
      </c>
      <c r="F64" s="26">
        <f t="shared" si="33"/>
        <v>0</v>
      </c>
      <c r="G64" s="26">
        <f t="shared" si="33"/>
        <v>0</v>
      </c>
      <c r="H64" s="26">
        <f t="shared" si="33"/>
        <v>0</v>
      </c>
      <c r="I64" s="26">
        <f t="shared" si="33"/>
        <v>0</v>
      </c>
      <c r="J64" s="26">
        <f t="shared" si="33"/>
        <v>0</v>
      </c>
      <c r="K64" s="26">
        <f t="shared" si="33"/>
        <v>0.10526315789473684</v>
      </c>
      <c r="L64" s="26">
        <f t="shared" si="33"/>
        <v>0</v>
      </c>
      <c r="M64" s="26">
        <f t="shared" si="33"/>
        <v>0</v>
      </c>
      <c r="N64" s="26">
        <f t="shared" si="33"/>
        <v>0</v>
      </c>
      <c r="O64" s="26">
        <f t="shared" si="33"/>
        <v>0</v>
      </c>
      <c r="P64" s="26">
        <f t="shared" si="33"/>
        <v>0</v>
      </c>
      <c r="Q64" s="26">
        <f t="shared" si="33"/>
        <v>0</v>
      </c>
      <c r="R64" s="26">
        <f t="shared" si="33"/>
        <v>0</v>
      </c>
      <c r="S64" s="26">
        <f t="shared" si="33"/>
        <v>5.2631578947368418E-2</v>
      </c>
      <c r="T64" s="26">
        <f t="shared" si="33"/>
        <v>0.12865497076023391</v>
      </c>
      <c r="U64" s="26">
        <f t="shared" si="33"/>
        <v>0.34502923976608185</v>
      </c>
      <c r="V64" s="26">
        <f t="shared" si="33"/>
        <v>0.10526315789473684</v>
      </c>
      <c r="W64" s="26">
        <f t="shared" si="33"/>
        <v>0</v>
      </c>
      <c r="X64" s="54">
        <f>X37/Y37</f>
        <v>0.26315789473684209</v>
      </c>
    </row>
    <row r="65" spans="1:46" x14ac:dyDescent="0.25">
      <c r="A65" s="43" t="s">
        <v>55</v>
      </c>
      <c r="B65" s="26">
        <f t="shared" ref="B65:W65" si="34">B42/$Y$42</f>
        <v>0.37168141592920362</v>
      </c>
      <c r="C65" s="26">
        <f t="shared" si="34"/>
        <v>0</v>
      </c>
      <c r="D65" s="26">
        <f t="shared" si="34"/>
        <v>0</v>
      </c>
      <c r="E65" s="26">
        <f t="shared" si="34"/>
        <v>0</v>
      </c>
      <c r="F65" s="26">
        <f t="shared" si="34"/>
        <v>0</v>
      </c>
      <c r="G65" s="26">
        <f t="shared" si="34"/>
        <v>0</v>
      </c>
      <c r="H65" s="26">
        <f t="shared" si="34"/>
        <v>0</v>
      </c>
      <c r="I65" s="26">
        <f t="shared" si="34"/>
        <v>0</v>
      </c>
      <c r="J65" s="26">
        <f t="shared" si="34"/>
        <v>0</v>
      </c>
      <c r="K65" s="26">
        <f t="shared" si="34"/>
        <v>0</v>
      </c>
      <c r="L65" s="26">
        <f t="shared" si="34"/>
        <v>0</v>
      </c>
      <c r="M65" s="26">
        <f t="shared" si="34"/>
        <v>0</v>
      </c>
      <c r="N65" s="26">
        <f t="shared" si="34"/>
        <v>0</v>
      </c>
      <c r="O65" s="26">
        <f t="shared" si="34"/>
        <v>0</v>
      </c>
      <c r="P65" s="26">
        <f t="shared" si="34"/>
        <v>0</v>
      </c>
      <c r="Q65" s="26">
        <f t="shared" si="34"/>
        <v>0</v>
      </c>
      <c r="R65" s="26">
        <f t="shared" si="34"/>
        <v>0</v>
      </c>
      <c r="S65" s="26">
        <f t="shared" si="34"/>
        <v>0</v>
      </c>
      <c r="T65" s="26">
        <f t="shared" si="34"/>
        <v>0</v>
      </c>
      <c r="U65" s="26">
        <f t="shared" si="34"/>
        <v>0</v>
      </c>
      <c r="V65" s="26">
        <f t="shared" si="34"/>
        <v>8.8495575221238951E-2</v>
      </c>
      <c r="W65" s="26">
        <f t="shared" si="34"/>
        <v>0.53982300884955758</v>
      </c>
      <c r="X65" s="54">
        <f>X42/Y42</f>
        <v>0</v>
      </c>
    </row>
    <row r="66" spans="1:46" x14ac:dyDescent="0.25">
      <c r="A66" s="43" t="s">
        <v>57</v>
      </c>
      <c r="B66" s="26">
        <f>B44/$Y$44</f>
        <v>0.2304147465437788</v>
      </c>
      <c r="C66" s="26">
        <f t="shared" ref="C66:W66" si="35">C44/$Y$44</f>
        <v>0</v>
      </c>
      <c r="D66" s="26">
        <f t="shared" si="35"/>
        <v>0</v>
      </c>
      <c r="E66" s="26">
        <f t="shared" si="35"/>
        <v>0</v>
      </c>
      <c r="F66" s="26">
        <f t="shared" si="35"/>
        <v>0</v>
      </c>
      <c r="G66" s="26">
        <f t="shared" si="35"/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26">
        <f t="shared" si="35"/>
        <v>0</v>
      </c>
      <c r="Q66" s="26">
        <f t="shared" si="35"/>
        <v>0.30414746543778803</v>
      </c>
      <c r="R66" s="26">
        <f t="shared" si="35"/>
        <v>9.2165898617511524E-2</v>
      </c>
      <c r="S66" s="26">
        <f t="shared" si="35"/>
        <v>0</v>
      </c>
      <c r="T66" s="26">
        <f t="shared" si="35"/>
        <v>0</v>
      </c>
      <c r="U66" s="26">
        <f t="shared" si="35"/>
        <v>2.7649769585253454E-2</v>
      </c>
      <c r="V66" s="26">
        <f t="shared" si="35"/>
        <v>6.9124423963133647E-2</v>
      </c>
      <c r="W66" s="26">
        <f t="shared" si="35"/>
        <v>0.15207373271889402</v>
      </c>
      <c r="X66" s="51">
        <f>X44/Y44</f>
        <v>0.12442396313364057</v>
      </c>
    </row>
    <row r="67" spans="1:46" x14ac:dyDescent="0.25">
      <c r="A67" s="43" t="s">
        <v>58</v>
      </c>
      <c r="B67" s="26">
        <f>B46/$Y$46</f>
        <v>0.9107142857142857</v>
      </c>
      <c r="C67" s="26">
        <f t="shared" ref="C67:W67" si="36">C46/$Y$46</f>
        <v>2.0408163265306121E-2</v>
      </c>
      <c r="D67" s="26">
        <f t="shared" si="36"/>
        <v>0</v>
      </c>
      <c r="E67" s="26">
        <f t="shared" si="36"/>
        <v>0</v>
      </c>
      <c r="F67" s="26">
        <f t="shared" si="36"/>
        <v>0</v>
      </c>
      <c r="G67" s="26">
        <f t="shared" si="36"/>
        <v>4.336734693877551E-2</v>
      </c>
      <c r="H67" s="26">
        <f t="shared" si="36"/>
        <v>7.6530612244897949E-3</v>
      </c>
      <c r="I67" s="26">
        <f t="shared" si="36"/>
        <v>0</v>
      </c>
      <c r="J67" s="26">
        <f t="shared" si="36"/>
        <v>0</v>
      </c>
      <c r="K67" s="26">
        <f t="shared" si="36"/>
        <v>0</v>
      </c>
      <c r="L67" s="26">
        <f t="shared" si="36"/>
        <v>0</v>
      </c>
      <c r="M67" s="26">
        <f t="shared" si="36"/>
        <v>0</v>
      </c>
      <c r="N67" s="26">
        <f t="shared" si="36"/>
        <v>0</v>
      </c>
      <c r="O67" s="26">
        <f t="shared" si="36"/>
        <v>2.5510204081632651E-3</v>
      </c>
      <c r="P67" s="26">
        <f t="shared" si="36"/>
        <v>1.020408163265306E-2</v>
      </c>
      <c r="Q67" s="26">
        <f t="shared" si="36"/>
        <v>0</v>
      </c>
      <c r="R67" s="26">
        <f t="shared" si="36"/>
        <v>0</v>
      </c>
      <c r="S67" s="26">
        <f t="shared" si="36"/>
        <v>0</v>
      </c>
      <c r="T67" s="26">
        <f t="shared" si="36"/>
        <v>0</v>
      </c>
      <c r="U67" s="26">
        <f t="shared" si="36"/>
        <v>0</v>
      </c>
      <c r="V67" s="26">
        <f t="shared" si="36"/>
        <v>5.1020408163265302E-3</v>
      </c>
      <c r="W67" s="26">
        <f t="shared" si="36"/>
        <v>0</v>
      </c>
      <c r="X67" s="54">
        <f>X46/Y46</f>
        <v>0</v>
      </c>
    </row>
    <row r="68" spans="1:46" x14ac:dyDescent="0.25">
      <c r="A68" s="43" t="s">
        <v>59</v>
      </c>
      <c r="B68" s="26">
        <f>B50/$Y$50</f>
        <v>0.88744420081063613</v>
      </c>
      <c r="C68" s="26">
        <f t="shared" ref="C68:W68" si="37">C50/$Y$50</f>
        <v>2.9628689995107191E-2</v>
      </c>
      <c r="D68" s="26">
        <f t="shared" si="37"/>
        <v>5.0891276902910922E-3</v>
      </c>
      <c r="E68" s="26">
        <f t="shared" si="37"/>
        <v>8.939951313508387E-4</v>
      </c>
      <c r="F68" s="26">
        <f t="shared" si="37"/>
        <v>1.1205141680106796E-3</v>
      </c>
      <c r="G68" s="26">
        <f t="shared" si="37"/>
        <v>2.8662208772025194E-3</v>
      </c>
      <c r="H68" s="26">
        <f t="shared" si="37"/>
        <v>2.8269575775148144E-3</v>
      </c>
      <c r="I68" s="26">
        <f t="shared" si="37"/>
        <v>1.0993723912557612E-3</v>
      </c>
      <c r="J68" s="26">
        <f t="shared" si="37"/>
        <v>1.2715268591172403E-3</v>
      </c>
      <c r="K68" s="26">
        <f t="shared" si="37"/>
        <v>1.9027599079426635E-3</v>
      </c>
      <c r="L68" s="26">
        <f t="shared" si="37"/>
        <v>6.282127950032921E-4</v>
      </c>
      <c r="M68" s="26">
        <f t="shared" si="37"/>
        <v>2.9568284918664563E-3</v>
      </c>
      <c r="N68" s="26">
        <f t="shared" si="37"/>
        <v>9.3023817721641332E-4</v>
      </c>
      <c r="O68" s="26">
        <f t="shared" si="37"/>
        <v>3.9353907302369685E-3</v>
      </c>
      <c r="P68" s="26">
        <f t="shared" si="37"/>
        <v>8.9097487752870747E-4</v>
      </c>
      <c r="Q68" s="26">
        <f t="shared" si="37"/>
        <v>3.6756489015336842E-3</v>
      </c>
      <c r="R68" s="26">
        <f t="shared" si="37"/>
        <v>9.2600982186542939E-3</v>
      </c>
      <c r="S68" s="26">
        <f t="shared" si="37"/>
        <v>8.668128469516579E-3</v>
      </c>
      <c r="T68" s="26">
        <f t="shared" si="37"/>
        <v>9.9547565977444741E-3</v>
      </c>
      <c r="U68" s="26">
        <f t="shared" si="37"/>
        <v>8.7617563380026457E-3</v>
      </c>
      <c r="V68" s="26">
        <f t="shared" si="37"/>
        <v>6.3757558185189881E-3</v>
      </c>
      <c r="W68" s="26">
        <f t="shared" si="37"/>
        <v>6.2247431274124274E-3</v>
      </c>
      <c r="X68" s="52">
        <f>X50/Y50</f>
        <v>3.5941020483361429E-3</v>
      </c>
    </row>
    <row r="72" spans="1:46" ht="18.75" x14ac:dyDescent="0.3">
      <c r="A72" s="147" t="s">
        <v>109</v>
      </c>
      <c r="D72" s="33"/>
      <c r="E72" s="34"/>
      <c r="Z72" s="35"/>
    </row>
    <row r="73" spans="1:46" ht="63.75" x14ac:dyDescent="0.25">
      <c r="A73" s="76" t="s">
        <v>2</v>
      </c>
      <c r="B73" s="77" t="s">
        <v>92</v>
      </c>
      <c r="C73" s="77">
        <v>2000</v>
      </c>
      <c r="D73" s="77">
        <v>2001</v>
      </c>
      <c r="E73" s="77">
        <v>2002</v>
      </c>
      <c r="F73" s="77">
        <v>2003</v>
      </c>
      <c r="G73" s="77">
        <v>2004</v>
      </c>
      <c r="H73" s="77">
        <v>2005</v>
      </c>
      <c r="I73" s="77">
        <v>2006</v>
      </c>
      <c r="J73" s="77">
        <v>2007</v>
      </c>
      <c r="K73" s="77">
        <v>2008</v>
      </c>
      <c r="L73" s="77">
        <v>2009</v>
      </c>
      <c r="M73" s="77">
        <v>2010</v>
      </c>
      <c r="N73" s="77">
        <v>2011</v>
      </c>
      <c r="O73" s="77">
        <v>2012</v>
      </c>
      <c r="P73" s="77">
        <v>2013</v>
      </c>
      <c r="Q73" s="77">
        <v>2014</v>
      </c>
      <c r="R73" s="77">
        <v>2015</v>
      </c>
      <c r="S73" s="77">
        <v>2016</v>
      </c>
      <c r="T73" s="77">
        <v>2017</v>
      </c>
      <c r="U73" s="77">
        <v>2018</v>
      </c>
      <c r="V73" s="77">
        <v>2019</v>
      </c>
      <c r="W73" s="77">
        <v>2020</v>
      </c>
      <c r="X73" s="76" t="s">
        <v>89</v>
      </c>
      <c r="Y73" s="76" t="s">
        <v>90</v>
      </c>
      <c r="Z73" s="78" t="s">
        <v>91</v>
      </c>
      <c r="AB73" s="201" t="s">
        <v>250</v>
      </c>
      <c r="AC73" s="201" t="s">
        <v>251</v>
      </c>
      <c r="AD73" s="201" t="s">
        <v>252</v>
      </c>
      <c r="AE73" s="201" t="s">
        <v>103</v>
      </c>
      <c r="AF73" s="201" t="s">
        <v>254</v>
      </c>
      <c r="AR73" s="250" t="s">
        <v>288</v>
      </c>
      <c r="AS73" t="s">
        <v>103</v>
      </c>
      <c r="AT73" t="s">
        <v>287</v>
      </c>
    </row>
    <row r="74" spans="1:46" x14ac:dyDescent="0.25">
      <c r="A74" s="60" t="s">
        <v>49</v>
      </c>
      <c r="B74" s="61">
        <f>B75</f>
        <v>0</v>
      </c>
      <c r="C74" s="61">
        <f t="shared" ref="C74:Y74" si="38">C75</f>
        <v>0</v>
      </c>
      <c r="D74" s="61">
        <f t="shared" si="38"/>
        <v>0</v>
      </c>
      <c r="E74" s="61">
        <f t="shared" si="38"/>
        <v>0</v>
      </c>
      <c r="F74" s="61">
        <f t="shared" si="38"/>
        <v>0</v>
      </c>
      <c r="G74" s="61">
        <f t="shared" si="38"/>
        <v>0</v>
      </c>
      <c r="H74" s="61">
        <f t="shared" si="38"/>
        <v>0</v>
      </c>
      <c r="I74" s="61">
        <f t="shared" si="38"/>
        <v>0</v>
      </c>
      <c r="J74" s="61">
        <f t="shared" si="38"/>
        <v>0</v>
      </c>
      <c r="K74" s="61">
        <f t="shared" si="38"/>
        <v>0</v>
      </c>
      <c r="L74" s="61">
        <f t="shared" si="38"/>
        <v>0</v>
      </c>
      <c r="M74" s="61">
        <f t="shared" si="38"/>
        <v>0</v>
      </c>
      <c r="N74" s="61">
        <f t="shared" si="38"/>
        <v>0</v>
      </c>
      <c r="O74" s="61">
        <f t="shared" si="38"/>
        <v>0</v>
      </c>
      <c r="P74" s="61">
        <f t="shared" si="38"/>
        <v>0</v>
      </c>
      <c r="Q74" s="61">
        <f t="shared" si="38"/>
        <v>0</v>
      </c>
      <c r="R74" s="61">
        <f t="shared" si="38"/>
        <v>0</v>
      </c>
      <c r="S74" s="61">
        <f t="shared" si="38"/>
        <v>0</v>
      </c>
      <c r="T74" s="61">
        <f t="shared" si="38"/>
        <v>0</v>
      </c>
      <c r="U74" s="61">
        <f t="shared" si="38"/>
        <v>0.43</v>
      </c>
      <c r="V74" s="61">
        <f t="shared" si="38"/>
        <v>0</v>
      </c>
      <c r="W74" s="61">
        <f t="shared" si="38"/>
        <v>0</v>
      </c>
      <c r="X74" s="61">
        <f t="shared" si="38"/>
        <v>0</v>
      </c>
      <c r="Y74" s="61">
        <f t="shared" si="38"/>
        <v>0.43</v>
      </c>
      <c r="Z74" s="62">
        <f>Y74/$Y$101</f>
        <v>6.220479844921987E-5</v>
      </c>
      <c r="AB74" s="61">
        <f>SUM(B74:T74)</f>
        <v>0</v>
      </c>
      <c r="AC74" s="61">
        <f>SUM(U74:W74)</f>
        <v>0.43</v>
      </c>
      <c r="AD74" s="61">
        <f>X74</f>
        <v>0</v>
      </c>
      <c r="AE74" s="61">
        <f>SUM(AB74:AD74)</f>
        <v>0.43</v>
      </c>
      <c r="AF74" s="62">
        <f>AC74/AE74</f>
        <v>1</v>
      </c>
      <c r="AQ74" s="60" t="s">
        <v>51</v>
      </c>
      <c r="AR74" s="162">
        <f>AC83</f>
        <v>398.20000000000005</v>
      </c>
      <c r="AS74" s="162">
        <f>AE83</f>
        <v>6869.340000000002</v>
      </c>
      <c r="AT74" s="249">
        <f>AR74/AS74</f>
        <v>5.7967723245610198E-2</v>
      </c>
    </row>
    <row r="75" spans="1:46" x14ac:dyDescent="0.25">
      <c r="A75" s="13" t="s">
        <v>13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>
        <v>0.43</v>
      </c>
      <c r="V75" s="14"/>
      <c r="W75" s="14"/>
      <c r="X75" s="14"/>
      <c r="Y75" s="109">
        <v>0.43</v>
      </c>
      <c r="Z75" s="74">
        <f t="shared" ref="Z75:Z101" si="39">Y75/$Y$101</f>
        <v>6.220479844921987E-5</v>
      </c>
      <c r="AB75" s="14">
        <f t="shared" ref="AB75:AB101" si="40">SUM(B75:T75)</f>
        <v>0</v>
      </c>
      <c r="AC75" s="14">
        <f t="shared" ref="AC75:AC101" si="41">SUM(U75:W75)</f>
        <v>0.43</v>
      </c>
      <c r="AD75" s="14">
        <f t="shared" ref="AD75:AD101" si="42">X75</f>
        <v>0</v>
      </c>
      <c r="AE75" s="109">
        <f t="shared" ref="AE75:AE101" si="43">SUM(AB75:AD75)</f>
        <v>0.43</v>
      </c>
      <c r="AF75" s="74">
        <f t="shared" ref="AF75:AF101" si="44">AC75/AE75</f>
        <v>1</v>
      </c>
      <c r="AQ75" s="60" t="s">
        <v>54</v>
      </c>
      <c r="AR75" s="162">
        <f>AC95</f>
        <v>10.9</v>
      </c>
      <c r="AS75" s="162">
        <f>AE95</f>
        <v>10.98</v>
      </c>
      <c r="AT75" s="249">
        <f>AR75/AS75</f>
        <v>0.9927140255009107</v>
      </c>
    </row>
    <row r="76" spans="1:46" x14ac:dyDescent="0.25">
      <c r="A76" s="60" t="s">
        <v>50</v>
      </c>
      <c r="B76" s="61">
        <f>SUM(B77:B79)</f>
        <v>0.14000000000000001</v>
      </c>
      <c r="C76" s="61">
        <f t="shared" ref="C76:Y76" si="45">SUM(C77:C79)</f>
        <v>0</v>
      </c>
      <c r="D76" s="61">
        <f t="shared" si="45"/>
        <v>6.51</v>
      </c>
      <c r="E76" s="61">
        <f t="shared" si="45"/>
        <v>0.47</v>
      </c>
      <c r="F76" s="61">
        <f t="shared" si="45"/>
        <v>0</v>
      </c>
      <c r="G76" s="61">
        <f t="shared" si="45"/>
        <v>0</v>
      </c>
      <c r="H76" s="61">
        <f t="shared" si="45"/>
        <v>0.1</v>
      </c>
      <c r="I76" s="61">
        <f t="shared" si="45"/>
        <v>0</v>
      </c>
      <c r="J76" s="61">
        <f t="shared" si="45"/>
        <v>0</v>
      </c>
      <c r="K76" s="61">
        <f t="shared" si="45"/>
        <v>0.28000000000000003</v>
      </c>
      <c r="L76" s="61">
        <f t="shared" si="45"/>
        <v>0</v>
      </c>
      <c r="M76" s="61">
        <f t="shared" si="45"/>
        <v>0</v>
      </c>
      <c r="N76" s="61">
        <f t="shared" si="45"/>
        <v>0</v>
      </c>
      <c r="O76" s="61">
        <f t="shared" si="45"/>
        <v>0</v>
      </c>
      <c r="P76" s="61">
        <f t="shared" si="45"/>
        <v>0</v>
      </c>
      <c r="Q76" s="61">
        <f t="shared" si="45"/>
        <v>0</v>
      </c>
      <c r="R76" s="61">
        <f t="shared" si="45"/>
        <v>0</v>
      </c>
      <c r="S76" s="61">
        <f t="shared" si="45"/>
        <v>0</v>
      </c>
      <c r="T76" s="61">
        <f t="shared" si="45"/>
        <v>0</v>
      </c>
      <c r="U76" s="61">
        <f t="shared" si="45"/>
        <v>0</v>
      </c>
      <c r="V76" s="61">
        <f t="shared" si="45"/>
        <v>0</v>
      </c>
      <c r="W76" s="61">
        <f t="shared" si="45"/>
        <v>0</v>
      </c>
      <c r="X76" s="61">
        <f t="shared" si="45"/>
        <v>0.03</v>
      </c>
      <c r="Y76" s="61">
        <f t="shared" si="45"/>
        <v>7.5299999999999994</v>
      </c>
      <c r="Z76" s="62">
        <f t="shared" si="39"/>
        <v>1.0893072844712223E-3</v>
      </c>
      <c r="AB76" s="61">
        <f t="shared" si="40"/>
        <v>7.4999999999999991</v>
      </c>
      <c r="AC76" s="61">
        <f t="shared" si="41"/>
        <v>0</v>
      </c>
      <c r="AD76" s="61">
        <f t="shared" si="42"/>
        <v>0.03</v>
      </c>
      <c r="AE76" s="61">
        <f t="shared" si="43"/>
        <v>7.5299999999999994</v>
      </c>
      <c r="AF76" s="62">
        <f t="shared" si="44"/>
        <v>0</v>
      </c>
    </row>
    <row r="77" spans="1:46" x14ac:dyDescent="0.25">
      <c r="A77" s="156" t="s">
        <v>19</v>
      </c>
      <c r="B77" s="109"/>
      <c r="C77" s="109"/>
      <c r="D77" s="109"/>
      <c r="E77" s="109">
        <v>0.47</v>
      </c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>
        <v>0.03</v>
      </c>
      <c r="Y77" s="109">
        <v>0.5</v>
      </c>
      <c r="Z77" s="74">
        <f t="shared" si="39"/>
        <v>7.2331160987464972E-5</v>
      </c>
      <c r="AB77" s="109">
        <f t="shared" si="40"/>
        <v>0.47</v>
      </c>
      <c r="AC77" s="109">
        <f t="shared" si="41"/>
        <v>0</v>
      </c>
      <c r="AD77" s="109">
        <f t="shared" si="42"/>
        <v>0.03</v>
      </c>
      <c r="AE77" s="109">
        <f t="shared" si="43"/>
        <v>0.5</v>
      </c>
      <c r="AF77" s="74">
        <f t="shared" si="44"/>
        <v>0</v>
      </c>
    </row>
    <row r="78" spans="1:46" x14ac:dyDescent="0.25">
      <c r="A78" s="156" t="s">
        <v>20</v>
      </c>
      <c r="B78" s="109">
        <v>0.14000000000000001</v>
      </c>
      <c r="C78" s="109"/>
      <c r="D78" s="109">
        <v>6.51</v>
      </c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>
        <v>6.6499999999999995</v>
      </c>
      <c r="Z78" s="74">
        <f t="shared" si="39"/>
        <v>9.6200444113328401E-4</v>
      </c>
      <c r="AB78" s="109">
        <f t="shared" si="40"/>
        <v>6.6499999999999995</v>
      </c>
      <c r="AC78" s="109">
        <f t="shared" si="41"/>
        <v>0</v>
      </c>
      <c r="AD78" s="109">
        <f t="shared" si="42"/>
        <v>0</v>
      </c>
      <c r="AE78" s="109">
        <f t="shared" si="43"/>
        <v>6.6499999999999995</v>
      </c>
      <c r="AF78" s="74">
        <f t="shared" si="44"/>
        <v>0</v>
      </c>
    </row>
    <row r="79" spans="1:46" x14ac:dyDescent="0.25">
      <c r="A79" s="156" t="s">
        <v>21</v>
      </c>
      <c r="B79" s="109"/>
      <c r="C79" s="109"/>
      <c r="D79" s="109"/>
      <c r="E79" s="109"/>
      <c r="F79" s="109"/>
      <c r="G79" s="109"/>
      <c r="H79" s="109">
        <v>0.1</v>
      </c>
      <c r="I79" s="109"/>
      <c r="J79" s="109"/>
      <c r="K79" s="109">
        <v>0.28000000000000003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>
        <v>0.38</v>
      </c>
      <c r="Z79" s="74">
        <f t="shared" si="39"/>
        <v>5.4971682350473372E-5</v>
      </c>
      <c r="AB79" s="109">
        <f t="shared" si="40"/>
        <v>0.38</v>
      </c>
      <c r="AC79" s="109">
        <f t="shared" si="41"/>
        <v>0</v>
      </c>
      <c r="AD79" s="109">
        <f t="shared" si="42"/>
        <v>0</v>
      </c>
      <c r="AE79" s="109">
        <f t="shared" si="43"/>
        <v>0.38</v>
      </c>
      <c r="AF79" s="74">
        <f t="shared" si="44"/>
        <v>0</v>
      </c>
    </row>
    <row r="80" spans="1:46" x14ac:dyDescent="0.25">
      <c r="A80" s="60" t="s">
        <v>60</v>
      </c>
      <c r="B80" s="61">
        <f>SUM(B81:B82)</f>
        <v>10.879999999999999</v>
      </c>
      <c r="C80" s="61">
        <f t="shared" ref="C80:Y80" si="46">SUM(C81:C82)</f>
        <v>0</v>
      </c>
      <c r="D80" s="61">
        <f t="shared" si="46"/>
        <v>0</v>
      </c>
      <c r="E80" s="61">
        <f t="shared" si="46"/>
        <v>0</v>
      </c>
      <c r="F80" s="61">
        <f t="shared" si="46"/>
        <v>0</v>
      </c>
      <c r="G80" s="61">
        <f t="shared" si="46"/>
        <v>0</v>
      </c>
      <c r="H80" s="61">
        <f t="shared" si="46"/>
        <v>0</v>
      </c>
      <c r="I80" s="61">
        <f t="shared" si="46"/>
        <v>0</v>
      </c>
      <c r="J80" s="61">
        <f t="shared" si="46"/>
        <v>0</v>
      </c>
      <c r="K80" s="61">
        <f t="shared" si="46"/>
        <v>0</v>
      </c>
      <c r="L80" s="61">
        <f t="shared" si="46"/>
        <v>0</v>
      </c>
      <c r="M80" s="61">
        <f t="shared" si="46"/>
        <v>0</v>
      </c>
      <c r="N80" s="61">
        <f t="shared" si="46"/>
        <v>0</v>
      </c>
      <c r="O80" s="61">
        <f t="shared" si="46"/>
        <v>0</v>
      </c>
      <c r="P80" s="61">
        <f t="shared" si="46"/>
        <v>0</v>
      </c>
      <c r="Q80" s="61">
        <f t="shared" si="46"/>
        <v>0</v>
      </c>
      <c r="R80" s="61">
        <f t="shared" si="46"/>
        <v>0</v>
      </c>
      <c r="S80" s="61">
        <f t="shared" si="46"/>
        <v>0</v>
      </c>
      <c r="T80" s="61">
        <f t="shared" si="46"/>
        <v>0</v>
      </c>
      <c r="U80" s="61">
        <f t="shared" si="46"/>
        <v>0</v>
      </c>
      <c r="V80" s="61">
        <f t="shared" si="46"/>
        <v>0</v>
      </c>
      <c r="W80" s="61">
        <f t="shared" si="46"/>
        <v>0.04</v>
      </c>
      <c r="X80" s="61">
        <f t="shared" si="46"/>
        <v>0</v>
      </c>
      <c r="Y80" s="61">
        <f t="shared" si="46"/>
        <v>10.919999999999998</v>
      </c>
      <c r="Z80" s="62">
        <f t="shared" si="39"/>
        <v>1.5797125559662347E-3</v>
      </c>
      <c r="AB80" s="61">
        <f t="shared" si="40"/>
        <v>10.879999999999999</v>
      </c>
      <c r="AC80" s="61">
        <f t="shared" si="41"/>
        <v>0.04</v>
      </c>
      <c r="AD80" s="61">
        <f t="shared" si="42"/>
        <v>0</v>
      </c>
      <c r="AE80" s="61">
        <f t="shared" si="43"/>
        <v>10.919999999999998</v>
      </c>
      <c r="AF80" s="62">
        <f t="shared" si="44"/>
        <v>3.6630036630036639E-3</v>
      </c>
    </row>
    <row r="81" spans="1:32" x14ac:dyDescent="0.25">
      <c r="A81" s="13" t="s">
        <v>23</v>
      </c>
      <c r="B81" s="109">
        <v>10.879999999999999</v>
      </c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>
        <v>10.879999999999999</v>
      </c>
      <c r="Z81" s="74">
        <f t="shared" si="39"/>
        <v>1.5739260630872375E-3</v>
      </c>
      <c r="AB81" s="109">
        <f t="shared" si="40"/>
        <v>10.879999999999999</v>
      </c>
      <c r="AC81" s="109">
        <f t="shared" si="41"/>
        <v>0</v>
      </c>
      <c r="AD81" s="109">
        <f t="shared" si="42"/>
        <v>0</v>
      </c>
      <c r="AE81" s="109">
        <f t="shared" si="43"/>
        <v>10.879999999999999</v>
      </c>
      <c r="AF81" s="74">
        <f t="shared" si="44"/>
        <v>0</v>
      </c>
    </row>
    <row r="82" spans="1:32" x14ac:dyDescent="0.25">
      <c r="A82" s="13" t="s">
        <v>24</v>
      </c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>
        <v>0.04</v>
      </c>
      <c r="X82" s="109"/>
      <c r="Y82" s="109">
        <v>0.04</v>
      </c>
      <c r="Z82" s="74">
        <f t="shared" si="39"/>
        <v>5.7864928789971977E-6</v>
      </c>
      <c r="AB82" s="109">
        <f t="shared" si="40"/>
        <v>0</v>
      </c>
      <c r="AC82" s="109">
        <f t="shared" si="41"/>
        <v>0.04</v>
      </c>
      <c r="AD82" s="109">
        <f t="shared" si="42"/>
        <v>0</v>
      </c>
      <c r="AE82" s="109">
        <f t="shared" si="43"/>
        <v>0.04</v>
      </c>
      <c r="AF82" s="74">
        <f t="shared" si="44"/>
        <v>1</v>
      </c>
    </row>
    <row r="83" spans="1:32" x14ac:dyDescent="0.25">
      <c r="A83" s="60" t="s">
        <v>51</v>
      </c>
      <c r="B83" s="61">
        <f>SUM(B84:B87)</f>
        <v>4460.8600000000015</v>
      </c>
      <c r="C83" s="61">
        <f t="shared" ref="C83:Y83" si="47">SUM(C84:C87)</f>
        <v>299.54000000000008</v>
      </c>
      <c r="D83" s="61">
        <f t="shared" si="47"/>
        <v>67.7</v>
      </c>
      <c r="E83" s="61">
        <f t="shared" si="47"/>
        <v>70.820000000000007</v>
      </c>
      <c r="F83" s="61">
        <f t="shared" si="47"/>
        <v>47.839999999999996</v>
      </c>
      <c r="G83" s="61">
        <f t="shared" si="47"/>
        <v>71.64</v>
      </c>
      <c r="H83" s="61">
        <f t="shared" si="47"/>
        <v>102.87</v>
      </c>
      <c r="I83" s="61">
        <f t="shared" si="47"/>
        <v>34.83</v>
      </c>
      <c r="J83" s="61">
        <f t="shared" si="47"/>
        <v>47.17</v>
      </c>
      <c r="K83" s="61">
        <f t="shared" si="47"/>
        <v>66.010000000000005</v>
      </c>
      <c r="L83" s="61">
        <f t="shared" si="47"/>
        <v>38.200000000000003</v>
      </c>
      <c r="M83" s="61">
        <f t="shared" si="47"/>
        <v>97.02</v>
      </c>
      <c r="N83" s="61">
        <f t="shared" si="47"/>
        <v>50.93</v>
      </c>
      <c r="O83" s="61">
        <f t="shared" si="47"/>
        <v>76.289999999999992</v>
      </c>
      <c r="P83" s="61">
        <f t="shared" si="47"/>
        <v>128.16999999999999</v>
      </c>
      <c r="Q83" s="61">
        <f t="shared" si="47"/>
        <v>192.16</v>
      </c>
      <c r="R83" s="61">
        <f t="shared" si="47"/>
        <v>225.75</v>
      </c>
      <c r="S83" s="61">
        <f t="shared" si="47"/>
        <v>211.01</v>
      </c>
      <c r="T83" s="61">
        <f t="shared" si="47"/>
        <v>182.32999999999998</v>
      </c>
      <c r="U83" s="61">
        <f t="shared" si="47"/>
        <v>160.56</v>
      </c>
      <c r="V83" s="61">
        <f t="shared" si="47"/>
        <v>133.18</v>
      </c>
      <c r="W83" s="61">
        <f t="shared" si="47"/>
        <v>104.46000000000001</v>
      </c>
      <c r="X83" s="61">
        <f t="shared" si="47"/>
        <v>0</v>
      </c>
      <c r="Y83" s="61">
        <f t="shared" si="47"/>
        <v>6869.3400000000038</v>
      </c>
      <c r="Z83" s="62">
        <f t="shared" si="39"/>
        <v>0.99373467483526567</v>
      </c>
      <c r="AB83" s="61">
        <f t="shared" si="40"/>
        <v>6471.1400000000021</v>
      </c>
      <c r="AC83" s="61">
        <f t="shared" si="41"/>
        <v>398.20000000000005</v>
      </c>
      <c r="AD83" s="61">
        <f t="shared" si="42"/>
        <v>0</v>
      </c>
      <c r="AE83" s="61">
        <f t="shared" si="43"/>
        <v>6869.340000000002</v>
      </c>
      <c r="AF83" s="62">
        <f t="shared" si="44"/>
        <v>5.7967723245610198E-2</v>
      </c>
    </row>
    <row r="84" spans="1:32" x14ac:dyDescent="0.25">
      <c r="A84" s="13" t="s">
        <v>25</v>
      </c>
      <c r="B84" s="109">
        <v>18.79</v>
      </c>
      <c r="C84" s="109"/>
      <c r="D84" s="109">
        <v>0.88</v>
      </c>
      <c r="E84" s="109"/>
      <c r="F84" s="109"/>
      <c r="G84" s="109"/>
      <c r="H84" s="109"/>
      <c r="I84" s="109"/>
      <c r="J84" s="109"/>
      <c r="K84" s="109"/>
      <c r="L84" s="109"/>
      <c r="M84" s="109">
        <v>0.58000000000000007</v>
      </c>
      <c r="N84" s="109"/>
      <c r="O84" s="109"/>
      <c r="P84" s="109"/>
      <c r="Q84" s="109">
        <v>2.2999999999999998</v>
      </c>
      <c r="R84" s="109">
        <v>0.68</v>
      </c>
      <c r="S84" s="109">
        <v>4.5199999999999996</v>
      </c>
      <c r="T84" s="109">
        <v>1.78</v>
      </c>
      <c r="U84" s="109">
        <v>1.89</v>
      </c>
      <c r="V84" s="109">
        <v>2.15</v>
      </c>
      <c r="W84" s="109"/>
      <c r="X84" s="109"/>
      <c r="Y84" s="109">
        <v>33.57</v>
      </c>
      <c r="Z84" s="74">
        <f t="shared" si="39"/>
        <v>4.8563141486983978E-3</v>
      </c>
      <c r="AB84" s="109">
        <f t="shared" si="40"/>
        <v>29.53</v>
      </c>
      <c r="AC84" s="109">
        <f t="shared" si="41"/>
        <v>4.04</v>
      </c>
      <c r="AD84" s="109">
        <f t="shared" si="42"/>
        <v>0</v>
      </c>
      <c r="AE84" s="109">
        <f t="shared" si="43"/>
        <v>33.57</v>
      </c>
      <c r="AF84" s="74">
        <f t="shared" si="44"/>
        <v>0.12034554661900507</v>
      </c>
    </row>
    <row r="85" spans="1:32" x14ac:dyDescent="0.25">
      <c r="A85" s="13" t="s">
        <v>26</v>
      </c>
      <c r="B85" s="109">
        <v>215.14999999999998</v>
      </c>
      <c r="C85" s="109">
        <v>25.86</v>
      </c>
      <c r="D85" s="109">
        <v>20.95</v>
      </c>
      <c r="E85" s="109">
        <v>20.87</v>
      </c>
      <c r="F85" s="109">
        <v>20.669999999999998</v>
      </c>
      <c r="G85" s="109"/>
      <c r="H85" s="109">
        <v>9.66</v>
      </c>
      <c r="I85" s="109">
        <v>4.91</v>
      </c>
      <c r="J85" s="109">
        <v>0.11</v>
      </c>
      <c r="K85" s="109"/>
      <c r="L85" s="109"/>
      <c r="M85" s="109">
        <v>2.92</v>
      </c>
      <c r="N85" s="109">
        <v>0.46</v>
      </c>
      <c r="O85" s="109">
        <v>1.1599999999999999</v>
      </c>
      <c r="P85" s="109">
        <v>7.12</v>
      </c>
      <c r="Q85" s="109">
        <v>19.479999999999997</v>
      </c>
      <c r="R85" s="109">
        <v>12.78</v>
      </c>
      <c r="S85" s="109">
        <v>2.6500000000000004</v>
      </c>
      <c r="T85" s="109">
        <v>11.75</v>
      </c>
      <c r="U85" s="109">
        <v>7.04</v>
      </c>
      <c r="V85" s="109">
        <v>3.4000000000000004</v>
      </c>
      <c r="W85" s="109"/>
      <c r="X85" s="109"/>
      <c r="Y85" s="109">
        <v>386.94000000000005</v>
      </c>
      <c r="Z85" s="74">
        <f t="shared" si="39"/>
        <v>5.5975638864979395E-2</v>
      </c>
      <c r="AB85" s="109">
        <f t="shared" si="40"/>
        <v>376.50000000000006</v>
      </c>
      <c r="AC85" s="109">
        <f t="shared" si="41"/>
        <v>10.440000000000001</v>
      </c>
      <c r="AD85" s="109">
        <f t="shared" si="42"/>
        <v>0</v>
      </c>
      <c r="AE85" s="109">
        <f t="shared" si="43"/>
        <v>386.94000000000005</v>
      </c>
      <c r="AF85" s="74">
        <f t="shared" si="44"/>
        <v>2.6980927275546594E-2</v>
      </c>
    </row>
    <row r="86" spans="1:32" x14ac:dyDescent="0.25">
      <c r="A86" s="13" t="s">
        <v>27</v>
      </c>
      <c r="B86" s="109">
        <v>2.35</v>
      </c>
      <c r="C86" s="109"/>
      <c r="D86" s="109"/>
      <c r="E86" s="109"/>
      <c r="F86" s="109"/>
      <c r="G86" s="109"/>
      <c r="H86" s="109">
        <v>0.12</v>
      </c>
      <c r="I86" s="109"/>
      <c r="J86" s="109"/>
      <c r="K86" s="109"/>
      <c r="L86" s="109"/>
      <c r="M86" s="109"/>
      <c r="N86" s="109"/>
      <c r="O86" s="109"/>
      <c r="P86" s="109">
        <v>0.04</v>
      </c>
      <c r="Q86" s="109"/>
      <c r="R86" s="109"/>
      <c r="S86" s="109">
        <v>0.69</v>
      </c>
      <c r="T86" s="109"/>
      <c r="U86" s="109">
        <v>0.3</v>
      </c>
      <c r="V86" s="109"/>
      <c r="W86" s="109"/>
      <c r="X86" s="109"/>
      <c r="Y86" s="109">
        <v>3.5</v>
      </c>
      <c r="Z86" s="74">
        <f t="shared" si="39"/>
        <v>5.0631812691225475E-4</v>
      </c>
      <c r="AB86" s="109">
        <f t="shared" si="40"/>
        <v>3.2</v>
      </c>
      <c r="AC86" s="109">
        <f t="shared" si="41"/>
        <v>0.3</v>
      </c>
      <c r="AD86" s="109">
        <f t="shared" si="42"/>
        <v>0</v>
      </c>
      <c r="AE86" s="109">
        <f t="shared" si="43"/>
        <v>3.5</v>
      </c>
      <c r="AF86" s="74">
        <f t="shared" si="44"/>
        <v>8.5714285714285715E-2</v>
      </c>
    </row>
    <row r="87" spans="1:32" x14ac:dyDescent="0.25">
      <c r="A87" s="13" t="s">
        <v>28</v>
      </c>
      <c r="B87" s="109">
        <v>4224.5700000000015</v>
      </c>
      <c r="C87" s="109">
        <v>273.68000000000006</v>
      </c>
      <c r="D87" s="109">
        <v>45.870000000000005</v>
      </c>
      <c r="E87" s="109">
        <v>49.95</v>
      </c>
      <c r="F87" s="109">
        <v>27.169999999999998</v>
      </c>
      <c r="G87" s="109">
        <v>71.64</v>
      </c>
      <c r="H87" s="109">
        <v>93.09</v>
      </c>
      <c r="I87" s="109">
        <v>29.919999999999998</v>
      </c>
      <c r="J87" s="109">
        <v>47.06</v>
      </c>
      <c r="K87" s="109">
        <v>66.010000000000005</v>
      </c>
      <c r="L87" s="109">
        <v>38.200000000000003</v>
      </c>
      <c r="M87" s="109">
        <v>93.52</v>
      </c>
      <c r="N87" s="109">
        <v>50.47</v>
      </c>
      <c r="O87" s="109">
        <v>75.13</v>
      </c>
      <c r="P87" s="109">
        <v>121.00999999999999</v>
      </c>
      <c r="Q87" s="109">
        <v>170.38</v>
      </c>
      <c r="R87" s="109">
        <v>212.29</v>
      </c>
      <c r="S87" s="109">
        <v>203.15</v>
      </c>
      <c r="T87" s="109">
        <v>168.79999999999998</v>
      </c>
      <c r="U87" s="109">
        <v>151.33000000000001</v>
      </c>
      <c r="V87" s="109">
        <v>127.63</v>
      </c>
      <c r="W87" s="109">
        <v>104.46000000000001</v>
      </c>
      <c r="X87" s="109"/>
      <c r="Y87" s="109">
        <v>6445.3300000000036</v>
      </c>
      <c r="Z87" s="74">
        <f t="shared" si="39"/>
        <v>0.93239640369467569</v>
      </c>
      <c r="AB87" s="109">
        <f t="shared" si="40"/>
        <v>6061.9100000000035</v>
      </c>
      <c r="AC87" s="109">
        <f t="shared" si="41"/>
        <v>383.42000000000007</v>
      </c>
      <c r="AD87" s="109">
        <f t="shared" si="42"/>
        <v>0</v>
      </c>
      <c r="AE87" s="109">
        <f t="shared" si="43"/>
        <v>6445.3300000000036</v>
      </c>
      <c r="AF87" s="74">
        <f t="shared" si="44"/>
        <v>5.9488032420372559E-2</v>
      </c>
    </row>
    <row r="88" spans="1:32" x14ac:dyDescent="0.25">
      <c r="A88" s="60" t="s">
        <v>52</v>
      </c>
      <c r="B88" s="61">
        <f>SUM(B89:B90)</f>
        <v>0</v>
      </c>
      <c r="C88" s="61">
        <f t="shared" ref="C88:Y88" si="48">SUM(C89:C90)</f>
        <v>0</v>
      </c>
      <c r="D88" s="61">
        <f t="shared" si="48"/>
        <v>0</v>
      </c>
      <c r="E88" s="61">
        <f t="shared" si="48"/>
        <v>0</v>
      </c>
      <c r="F88" s="61">
        <f t="shared" si="48"/>
        <v>0</v>
      </c>
      <c r="G88" s="61">
        <f t="shared" si="48"/>
        <v>0</v>
      </c>
      <c r="H88" s="61">
        <f t="shared" si="48"/>
        <v>0</v>
      </c>
      <c r="I88" s="61">
        <f t="shared" si="48"/>
        <v>0</v>
      </c>
      <c r="J88" s="61">
        <f t="shared" si="48"/>
        <v>0</v>
      </c>
      <c r="K88" s="61">
        <f t="shared" si="48"/>
        <v>0</v>
      </c>
      <c r="L88" s="61">
        <f t="shared" si="48"/>
        <v>0</v>
      </c>
      <c r="M88" s="61">
        <f t="shared" si="48"/>
        <v>6.41</v>
      </c>
      <c r="N88" s="61">
        <f t="shared" si="48"/>
        <v>0</v>
      </c>
      <c r="O88" s="61">
        <f t="shared" si="48"/>
        <v>0</v>
      </c>
      <c r="P88" s="61">
        <f t="shared" si="48"/>
        <v>1.98</v>
      </c>
      <c r="Q88" s="61">
        <f t="shared" si="48"/>
        <v>0</v>
      </c>
      <c r="R88" s="61">
        <f t="shared" si="48"/>
        <v>0</v>
      </c>
      <c r="S88" s="61">
        <f t="shared" si="48"/>
        <v>0.4</v>
      </c>
      <c r="T88" s="61">
        <f t="shared" si="48"/>
        <v>0</v>
      </c>
      <c r="U88" s="61">
        <f t="shared" si="48"/>
        <v>0.32</v>
      </c>
      <c r="V88" s="61">
        <f t="shared" si="48"/>
        <v>0</v>
      </c>
      <c r="W88" s="61">
        <f t="shared" si="48"/>
        <v>0</v>
      </c>
      <c r="X88" s="61">
        <f t="shared" si="48"/>
        <v>0</v>
      </c>
      <c r="Y88" s="61">
        <f t="shared" si="48"/>
        <v>9.1100000000000012</v>
      </c>
      <c r="Z88" s="62">
        <f t="shared" si="39"/>
        <v>1.3178737531916119E-3</v>
      </c>
      <c r="AB88" s="61">
        <f t="shared" si="40"/>
        <v>8.7900000000000009</v>
      </c>
      <c r="AC88" s="61">
        <f t="shared" si="41"/>
        <v>0.32</v>
      </c>
      <c r="AD88" s="61">
        <f t="shared" si="42"/>
        <v>0</v>
      </c>
      <c r="AE88" s="61">
        <f t="shared" si="43"/>
        <v>9.1100000000000012</v>
      </c>
      <c r="AF88" s="62">
        <f t="shared" si="44"/>
        <v>3.5126234906695933E-2</v>
      </c>
    </row>
    <row r="89" spans="1:32" x14ac:dyDescent="0.25">
      <c r="A89" s="13" t="s">
        <v>29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>
        <v>6.41</v>
      </c>
      <c r="N89" s="14"/>
      <c r="O89" s="14"/>
      <c r="P89" s="14">
        <v>1.98</v>
      </c>
      <c r="Q89" s="14"/>
      <c r="R89" s="14"/>
      <c r="S89" s="14"/>
      <c r="T89" s="14"/>
      <c r="U89" s="14">
        <v>0.32</v>
      </c>
      <c r="V89" s="14"/>
      <c r="W89" s="14"/>
      <c r="X89" s="14"/>
      <c r="Y89" s="109">
        <v>8.7100000000000009</v>
      </c>
      <c r="Z89" s="74">
        <f t="shared" si="39"/>
        <v>1.2600088244016398E-3</v>
      </c>
      <c r="AB89" s="14">
        <f t="shared" si="40"/>
        <v>8.39</v>
      </c>
      <c r="AC89" s="14">
        <f t="shared" si="41"/>
        <v>0.32</v>
      </c>
      <c r="AD89" s="14">
        <f t="shared" si="42"/>
        <v>0</v>
      </c>
      <c r="AE89" s="109">
        <f t="shared" si="43"/>
        <v>8.7100000000000009</v>
      </c>
      <c r="AF89" s="74">
        <f t="shared" si="44"/>
        <v>3.6739380022962106E-2</v>
      </c>
    </row>
    <row r="90" spans="1:32" x14ac:dyDescent="0.25">
      <c r="A90" s="13" t="s">
        <v>33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>
        <v>0.4</v>
      </c>
      <c r="T90" s="14"/>
      <c r="U90" s="14"/>
      <c r="V90" s="14"/>
      <c r="W90" s="14"/>
      <c r="X90" s="14"/>
      <c r="Y90" s="109">
        <v>0.4</v>
      </c>
      <c r="Z90" s="74">
        <f t="shared" si="39"/>
        <v>5.7864928789971975E-5</v>
      </c>
      <c r="AB90" s="14">
        <f t="shared" si="40"/>
        <v>0.4</v>
      </c>
      <c r="AC90" s="14">
        <f t="shared" si="41"/>
        <v>0</v>
      </c>
      <c r="AD90" s="14">
        <f t="shared" si="42"/>
        <v>0</v>
      </c>
      <c r="AE90" s="109">
        <f t="shared" si="43"/>
        <v>0.4</v>
      </c>
      <c r="AF90" s="74">
        <f t="shared" si="44"/>
        <v>0</v>
      </c>
    </row>
    <row r="91" spans="1:32" x14ac:dyDescent="0.25">
      <c r="A91" s="60" t="s">
        <v>53</v>
      </c>
      <c r="B91" s="61">
        <f>SUM(B92:B94)</f>
        <v>0</v>
      </c>
      <c r="C91" s="61">
        <f t="shared" ref="C91:Y91" si="49">SUM(C92:C94)</f>
        <v>0</v>
      </c>
      <c r="D91" s="61">
        <f t="shared" si="49"/>
        <v>0</v>
      </c>
      <c r="E91" s="61">
        <f t="shared" si="49"/>
        <v>0</v>
      </c>
      <c r="F91" s="61">
        <f t="shared" si="49"/>
        <v>0</v>
      </c>
      <c r="G91" s="61">
        <f t="shared" si="49"/>
        <v>0</v>
      </c>
      <c r="H91" s="61">
        <f t="shared" si="49"/>
        <v>0</v>
      </c>
      <c r="I91" s="61">
        <f t="shared" si="49"/>
        <v>0</v>
      </c>
      <c r="J91" s="61">
        <f t="shared" si="49"/>
        <v>0</v>
      </c>
      <c r="K91" s="61">
        <f t="shared" si="49"/>
        <v>0</v>
      </c>
      <c r="L91" s="61">
        <f t="shared" si="49"/>
        <v>0</v>
      </c>
      <c r="M91" s="61">
        <f t="shared" si="49"/>
        <v>0</v>
      </c>
      <c r="N91" s="61">
        <f t="shared" si="49"/>
        <v>0</v>
      </c>
      <c r="O91" s="61">
        <f t="shared" si="49"/>
        <v>0</v>
      </c>
      <c r="P91" s="61">
        <f t="shared" si="49"/>
        <v>0</v>
      </c>
      <c r="Q91" s="61">
        <f t="shared" si="49"/>
        <v>0</v>
      </c>
      <c r="R91" s="61">
        <f t="shared" si="49"/>
        <v>2.56</v>
      </c>
      <c r="S91" s="61">
        <f t="shared" si="49"/>
        <v>0.85</v>
      </c>
      <c r="T91" s="61">
        <f t="shared" si="49"/>
        <v>0</v>
      </c>
      <c r="U91" s="61">
        <f t="shared" si="49"/>
        <v>0.01</v>
      </c>
      <c r="V91" s="61">
        <f t="shared" si="49"/>
        <v>0.09</v>
      </c>
      <c r="W91" s="61">
        <f t="shared" si="49"/>
        <v>0</v>
      </c>
      <c r="X91" s="61">
        <f t="shared" si="49"/>
        <v>0</v>
      </c>
      <c r="Y91" s="61">
        <f t="shared" si="49"/>
        <v>3.51</v>
      </c>
      <c r="Z91" s="62">
        <f t="shared" si="39"/>
        <v>5.07764750132004E-4</v>
      </c>
      <c r="AB91" s="61">
        <f t="shared" si="40"/>
        <v>3.41</v>
      </c>
      <c r="AC91" s="61">
        <f t="shared" si="41"/>
        <v>9.9999999999999992E-2</v>
      </c>
      <c r="AD91" s="61">
        <f t="shared" si="42"/>
        <v>0</v>
      </c>
      <c r="AE91" s="61">
        <f t="shared" si="43"/>
        <v>3.5100000000000002</v>
      </c>
      <c r="AF91" s="62">
        <f t="shared" si="44"/>
        <v>2.8490028490028487E-2</v>
      </c>
    </row>
    <row r="92" spans="1:32" x14ac:dyDescent="0.25">
      <c r="A92" s="13" t="s">
        <v>36</v>
      </c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>
        <v>2.56</v>
      </c>
      <c r="S92" s="109"/>
      <c r="T92" s="109"/>
      <c r="U92" s="109"/>
      <c r="V92" s="109"/>
      <c r="W92" s="109"/>
      <c r="X92" s="109"/>
      <c r="Y92" s="109">
        <v>2.56</v>
      </c>
      <c r="Z92" s="74">
        <f t="shared" si="39"/>
        <v>3.7033554425582065E-4</v>
      </c>
      <c r="AB92" s="109">
        <f t="shared" si="40"/>
        <v>2.56</v>
      </c>
      <c r="AC92" s="109">
        <f t="shared" si="41"/>
        <v>0</v>
      </c>
      <c r="AD92" s="109">
        <f t="shared" si="42"/>
        <v>0</v>
      </c>
      <c r="AE92" s="109">
        <f t="shared" si="43"/>
        <v>2.56</v>
      </c>
      <c r="AF92" s="74">
        <f t="shared" si="44"/>
        <v>0</v>
      </c>
    </row>
    <row r="93" spans="1:32" x14ac:dyDescent="0.25">
      <c r="A93" s="13" t="s">
        <v>41</v>
      </c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>
        <v>0.85</v>
      </c>
      <c r="T93" s="109"/>
      <c r="U93" s="109">
        <v>0.01</v>
      </c>
      <c r="V93" s="109"/>
      <c r="W93" s="109"/>
      <c r="X93" s="109"/>
      <c r="Y93" s="109">
        <v>0.86</v>
      </c>
      <c r="Z93" s="74">
        <f t="shared" si="39"/>
        <v>1.2440959689843974E-4</v>
      </c>
      <c r="AB93" s="109">
        <f t="shared" si="40"/>
        <v>0.85</v>
      </c>
      <c r="AC93" s="109">
        <f t="shared" si="41"/>
        <v>0.01</v>
      </c>
      <c r="AD93" s="109">
        <f t="shared" si="42"/>
        <v>0</v>
      </c>
      <c r="AE93" s="109">
        <f t="shared" si="43"/>
        <v>0.86</v>
      </c>
      <c r="AF93" s="74">
        <f t="shared" si="44"/>
        <v>1.1627906976744186E-2</v>
      </c>
    </row>
    <row r="94" spans="1:32" x14ac:dyDescent="0.25">
      <c r="A94" s="13" t="s">
        <v>42</v>
      </c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>
        <v>0.09</v>
      </c>
      <c r="W94" s="109"/>
      <c r="X94" s="109"/>
      <c r="Y94" s="109">
        <v>0.09</v>
      </c>
      <c r="Z94" s="74">
        <f t="shared" si="39"/>
        <v>1.3019608977743694E-5</v>
      </c>
      <c r="AB94" s="109">
        <f t="shared" si="40"/>
        <v>0</v>
      </c>
      <c r="AC94" s="109">
        <f t="shared" si="41"/>
        <v>0.09</v>
      </c>
      <c r="AD94" s="109">
        <f t="shared" si="42"/>
        <v>0</v>
      </c>
      <c r="AE94" s="109">
        <f t="shared" si="43"/>
        <v>0.09</v>
      </c>
      <c r="AF94" s="74">
        <f t="shared" si="44"/>
        <v>1</v>
      </c>
    </row>
    <row r="95" spans="1:32" x14ac:dyDescent="0.25">
      <c r="A95" s="60" t="s">
        <v>54</v>
      </c>
      <c r="B95" s="61">
        <f>B96</f>
        <v>0</v>
      </c>
      <c r="C95" s="61">
        <f t="shared" ref="C95:Y95" si="50">C96</f>
        <v>0</v>
      </c>
      <c r="D95" s="61">
        <f t="shared" si="50"/>
        <v>0</v>
      </c>
      <c r="E95" s="61">
        <f t="shared" si="50"/>
        <v>0</v>
      </c>
      <c r="F95" s="61">
        <f t="shared" si="50"/>
        <v>0</v>
      </c>
      <c r="G95" s="61">
        <f t="shared" si="50"/>
        <v>0</v>
      </c>
      <c r="H95" s="61">
        <f t="shared" si="50"/>
        <v>0</v>
      </c>
      <c r="I95" s="61">
        <f t="shared" si="50"/>
        <v>0</v>
      </c>
      <c r="J95" s="61">
        <f t="shared" si="50"/>
        <v>0</v>
      </c>
      <c r="K95" s="61">
        <f t="shared" si="50"/>
        <v>0</v>
      </c>
      <c r="L95" s="61">
        <f t="shared" si="50"/>
        <v>0</v>
      </c>
      <c r="M95" s="61">
        <f t="shared" si="50"/>
        <v>0.06</v>
      </c>
      <c r="N95" s="61">
        <f t="shared" si="50"/>
        <v>0</v>
      </c>
      <c r="O95" s="61">
        <f t="shared" si="50"/>
        <v>0</v>
      </c>
      <c r="P95" s="61">
        <f t="shared" si="50"/>
        <v>0</v>
      </c>
      <c r="Q95" s="61">
        <f t="shared" si="50"/>
        <v>0</v>
      </c>
      <c r="R95" s="61">
        <f t="shared" si="50"/>
        <v>0.02</v>
      </c>
      <c r="S95" s="61">
        <f t="shared" si="50"/>
        <v>0</v>
      </c>
      <c r="T95" s="61">
        <f t="shared" si="50"/>
        <v>0</v>
      </c>
      <c r="U95" s="61">
        <f t="shared" si="50"/>
        <v>0.08</v>
      </c>
      <c r="V95" s="61">
        <f t="shared" si="50"/>
        <v>5.82</v>
      </c>
      <c r="W95" s="61">
        <f t="shared" si="50"/>
        <v>5</v>
      </c>
      <c r="X95" s="61">
        <f t="shared" si="50"/>
        <v>0</v>
      </c>
      <c r="Y95" s="61">
        <f t="shared" si="50"/>
        <v>10.98</v>
      </c>
      <c r="Z95" s="62">
        <f t="shared" si="39"/>
        <v>1.5883922952847308E-3</v>
      </c>
      <c r="AB95" s="61">
        <f t="shared" si="40"/>
        <v>0.08</v>
      </c>
      <c r="AC95" s="61">
        <f t="shared" si="41"/>
        <v>10.9</v>
      </c>
      <c r="AD95" s="61">
        <f t="shared" si="42"/>
        <v>0</v>
      </c>
      <c r="AE95" s="61">
        <f t="shared" si="43"/>
        <v>10.98</v>
      </c>
      <c r="AF95" s="62">
        <f t="shared" si="44"/>
        <v>0.9927140255009107</v>
      </c>
    </row>
    <row r="96" spans="1:32" x14ac:dyDescent="0.25">
      <c r="A96" s="13" t="s">
        <v>44</v>
      </c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>
        <v>0.06</v>
      </c>
      <c r="N96" s="109"/>
      <c r="O96" s="109"/>
      <c r="P96" s="109"/>
      <c r="Q96" s="109"/>
      <c r="R96" s="109">
        <v>0.02</v>
      </c>
      <c r="S96" s="109"/>
      <c r="T96" s="109"/>
      <c r="U96" s="109">
        <v>0.08</v>
      </c>
      <c r="V96" s="109">
        <v>5.82</v>
      </c>
      <c r="W96" s="109">
        <v>5</v>
      </c>
      <c r="X96" s="109"/>
      <c r="Y96" s="109">
        <v>10.98</v>
      </c>
      <c r="Z96" s="74">
        <f t="shared" si="39"/>
        <v>1.5883922952847308E-3</v>
      </c>
      <c r="AB96" s="109">
        <f t="shared" si="40"/>
        <v>0.08</v>
      </c>
      <c r="AC96" s="109">
        <f t="shared" si="41"/>
        <v>10.9</v>
      </c>
      <c r="AD96" s="109">
        <f t="shared" si="42"/>
        <v>0</v>
      </c>
      <c r="AE96" s="109">
        <f t="shared" si="43"/>
        <v>10.98</v>
      </c>
      <c r="AF96" s="74">
        <f t="shared" si="44"/>
        <v>0.9927140255009107</v>
      </c>
    </row>
    <row r="97" spans="1:32" x14ac:dyDescent="0.25">
      <c r="A97" s="60" t="s">
        <v>55</v>
      </c>
      <c r="B97" s="61">
        <f>B98</f>
        <v>0.8</v>
      </c>
      <c r="C97" s="61">
        <f t="shared" ref="C97:Y97" si="51">C98</f>
        <v>0</v>
      </c>
      <c r="D97" s="61">
        <f t="shared" si="51"/>
        <v>0</v>
      </c>
      <c r="E97" s="61">
        <f t="shared" si="51"/>
        <v>0</v>
      </c>
      <c r="F97" s="61">
        <f t="shared" si="51"/>
        <v>0</v>
      </c>
      <c r="G97" s="61">
        <f t="shared" si="51"/>
        <v>0</v>
      </c>
      <c r="H97" s="61">
        <f t="shared" si="51"/>
        <v>0</v>
      </c>
      <c r="I97" s="61">
        <f t="shared" si="51"/>
        <v>0</v>
      </c>
      <c r="J97" s="61">
        <f t="shared" si="51"/>
        <v>0</v>
      </c>
      <c r="K97" s="61">
        <f t="shared" si="51"/>
        <v>0</v>
      </c>
      <c r="L97" s="61">
        <f t="shared" si="51"/>
        <v>0</v>
      </c>
      <c r="M97" s="61">
        <f t="shared" si="51"/>
        <v>0</v>
      </c>
      <c r="N97" s="61">
        <f t="shared" si="51"/>
        <v>0</v>
      </c>
      <c r="O97" s="61">
        <f t="shared" si="51"/>
        <v>0</v>
      </c>
      <c r="P97" s="61">
        <f t="shared" si="51"/>
        <v>0</v>
      </c>
      <c r="Q97" s="61">
        <f t="shared" si="51"/>
        <v>0</v>
      </c>
      <c r="R97" s="61">
        <f t="shared" si="51"/>
        <v>0</v>
      </c>
      <c r="S97" s="61">
        <f t="shared" si="51"/>
        <v>0</v>
      </c>
      <c r="T97" s="61">
        <f t="shared" si="51"/>
        <v>0</v>
      </c>
      <c r="U97" s="61">
        <f t="shared" si="51"/>
        <v>0</v>
      </c>
      <c r="V97" s="61">
        <f t="shared" si="51"/>
        <v>0</v>
      </c>
      <c r="W97" s="61">
        <f t="shared" si="51"/>
        <v>0</v>
      </c>
      <c r="X97" s="61">
        <f t="shared" si="51"/>
        <v>0</v>
      </c>
      <c r="Y97" s="61">
        <f t="shared" si="51"/>
        <v>0.8</v>
      </c>
      <c r="Z97" s="62">
        <f t="shared" si="39"/>
        <v>1.1572985757994395E-4</v>
      </c>
      <c r="AB97" s="61">
        <f t="shared" si="40"/>
        <v>0.8</v>
      </c>
      <c r="AC97" s="61">
        <f t="shared" si="41"/>
        <v>0</v>
      </c>
      <c r="AD97" s="61">
        <f t="shared" si="42"/>
        <v>0</v>
      </c>
      <c r="AE97" s="61">
        <f t="shared" si="43"/>
        <v>0.8</v>
      </c>
      <c r="AF97" s="62">
        <f t="shared" si="44"/>
        <v>0</v>
      </c>
    </row>
    <row r="98" spans="1:32" x14ac:dyDescent="0.25">
      <c r="A98" s="13" t="s">
        <v>45</v>
      </c>
      <c r="B98" s="109">
        <v>0.8</v>
      </c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>
        <v>0.8</v>
      </c>
      <c r="Z98" s="74">
        <f t="shared" si="39"/>
        <v>1.1572985757994395E-4</v>
      </c>
      <c r="AB98" s="109">
        <f t="shared" si="40"/>
        <v>0.8</v>
      </c>
      <c r="AC98" s="109">
        <f t="shared" si="41"/>
        <v>0</v>
      </c>
      <c r="AD98" s="109">
        <f t="shared" si="42"/>
        <v>0</v>
      </c>
      <c r="AE98" s="109">
        <f t="shared" si="43"/>
        <v>0.8</v>
      </c>
      <c r="AF98" s="74">
        <f t="shared" si="44"/>
        <v>0</v>
      </c>
    </row>
    <row r="99" spans="1:32" x14ac:dyDescent="0.25">
      <c r="A99" s="60" t="s">
        <v>57</v>
      </c>
      <c r="B99" s="61">
        <f>B100</f>
        <v>0</v>
      </c>
      <c r="C99" s="61">
        <f t="shared" ref="C99:Y99" si="52">C100</f>
        <v>0</v>
      </c>
      <c r="D99" s="61">
        <f t="shared" si="52"/>
        <v>0</v>
      </c>
      <c r="E99" s="61">
        <f t="shared" si="52"/>
        <v>0</v>
      </c>
      <c r="F99" s="61">
        <f t="shared" si="52"/>
        <v>0.03</v>
      </c>
      <c r="G99" s="61">
        <f t="shared" si="52"/>
        <v>0</v>
      </c>
      <c r="H99" s="61">
        <f t="shared" si="52"/>
        <v>0</v>
      </c>
      <c r="I99" s="61">
        <f t="shared" si="52"/>
        <v>0</v>
      </c>
      <c r="J99" s="61">
        <f t="shared" si="52"/>
        <v>0</v>
      </c>
      <c r="K99" s="61">
        <f t="shared" si="52"/>
        <v>0</v>
      </c>
      <c r="L99" s="61">
        <f t="shared" si="52"/>
        <v>0</v>
      </c>
      <c r="M99" s="61">
        <f t="shared" si="52"/>
        <v>0</v>
      </c>
      <c r="N99" s="61">
        <f t="shared" si="52"/>
        <v>0</v>
      </c>
      <c r="O99" s="61">
        <f t="shared" si="52"/>
        <v>0</v>
      </c>
      <c r="P99" s="61">
        <f t="shared" si="52"/>
        <v>0</v>
      </c>
      <c r="Q99" s="61">
        <f t="shared" si="52"/>
        <v>0</v>
      </c>
      <c r="R99" s="61">
        <f t="shared" si="52"/>
        <v>0</v>
      </c>
      <c r="S99" s="61">
        <f t="shared" si="52"/>
        <v>0</v>
      </c>
      <c r="T99" s="61">
        <f t="shared" si="52"/>
        <v>0</v>
      </c>
      <c r="U99" s="61">
        <f t="shared" si="52"/>
        <v>0</v>
      </c>
      <c r="V99" s="61">
        <f t="shared" si="52"/>
        <v>0</v>
      </c>
      <c r="W99" s="61">
        <f t="shared" si="52"/>
        <v>0</v>
      </c>
      <c r="X99" s="61">
        <f t="shared" si="52"/>
        <v>0</v>
      </c>
      <c r="Y99" s="61">
        <f t="shared" si="52"/>
        <v>0.03</v>
      </c>
      <c r="Z99" s="62">
        <f t="shared" si="39"/>
        <v>4.3398696592478976E-6</v>
      </c>
      <c r="AB99" s="61">
        <f t="shared" si="40"/>
        <v>0.03</v>
      </c>
      <c r="AC99" s="61">
        <f t="shared" si="41"/>
        <v>0</v>
      </c>
      <c r="AD99" s="61">
        <f t="shared" si="42"/>
        <v>0</v>
      </c>
      <c r="AE99" s="61">
        <f t="shared" si="43"/>
        <v>0.03</v>
      </c>
      <c r="AF99" s="62">
        <f t="shared" si="44"/>
        <v>0</v>
      </c>
    </row>
    <row r="100" spans="1:32" x14ac:dyDescent="0.25">
      <c r="A100" s="13" t="s">
        <v>47</v>
      </c>
      <c r="B100" s="109"/>
      <c r="C100" s="109"/>
      <c r="D100" s="109"/>
      <c r="E100" s="109"/>
      <c r="F100" s="109">
        <v>0.03</v>
      </c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>
        <v>0.03</v>
      </c>
      <c r="Z100" s="74">
        <f t="shared" si="39"/>
        <v>4.3398696592478976E-6</v>
      </c>
      <c r="AB100" s="109">
        <f t="shared" si="40"/>
        <v>0.03</v>
      </c>
      <c r="AC100" s="109">
        <f t="shared" si="41"/>
        <v>0</v>
      </c>
      <c r="AD100" s="109">
        <f t="shared" si="42"/>
        <v>0</v>
      </c>
      <c r="AE100" s="109">
        <f t="shared" si="43"/>
        <v>0.03</v>
      </c>
      <c r="AF100" s="74">
        <f t="shared" si="44"/>
        <v>0</v>
      </c>
    </row>
    <row r="101" spans="1:32" x14ac:dyDescent="0.25">
      <c r="A101" s="80" t="s">
        <v>59</v>
      </c>
      <c r="B101" s="64">
        <f>SUM(B99+B97+B95+B91+B88+B83+B80+B76+B74)</f>
        <v>4472.6800000000021</v>
      </c>
      <c r="C101" s="64">
        <f t="shared" ref="C101:Y101" si="53">SUM(C99+C97+C95+C91+C88+C83+C80+C76+C74)</f>
        <v>299.54000000000008</v>
      </c>
      <c r="D101" s="64">
        <f t="shared" si="53"/>
        <v>74.210000000000008</v>
      </c>
      <c r="E101" s="64">
        <f t="shared" si="53"/>
        <v>71.290000000000006</v>
      </c>
      <c r="F101" s="64">
        <f t="shared" si="53"/>
        <v>47.87</v>
      </c>
      <c r="G101" s="64">
        <f t="shared" si="53"/>
        <v>71.64</v>
      </c>
      <c r="H101" s="64">
        <f t="shared" si="53"/>
        <v>102.97</v>
      </c>
      <c r="I101" s="64">
        <f t="shared" si="53"/>
        <v>34.83</v>
      </c>
      <c r="J101" s="64">
        <f t="shared" si="53"/>
        <v>47.17</v>
      </c>
      <c r="K101" s="64">
        <f t="shared" si="53"/>
        <v>66.290000000000006</v>
      </c>
      <c r="L101" s="64">
        <f t="shared" si="53"/>
        <v>38.200000000000003</v>
      </c>
      <c r="M101" s="64">
        <f t="shared" si="53"/>
        <v>103.49</v>
      </c>
      <c r="N101" s="64">
        <f t="shared" si="53"/>
        <v>50.93</v>
      </c>
      <c r="O101" s="64">
        <f t="shared" si="53"/>
        <v>76.289999999999992</v>
      </c>
      <c r="P101" s="64">
        <f t="shared" si="53"/>
        <v>130.14999999999998</v>
      </c>
      <c r="Q101" s="64">
        <f t="shared" si="53"/>
        <v>192.16</v>
      </c>
      <c r="R101" s="64">
        <f t="shared" si="53"/>
        <v>228.33</v>
      </c>
      <c r="S101" s="64">
        <f t="shared" si="53"/>
        <v>212.26</v>
      </c>
      <c r="T101" s="64">
        <f t="shared" si="53"/>
        <v>182.32999999999998</v>
      </c>
      <c r="U101" s="64">
        <f t="shared" si="53"/>
        <v>161.4</v>
      </c>
      <c r="V101" s="64">
        <f t="shared" si="53"/>
        <v>139.09</v>
      </c>
      <c r="W101" s="64">
        <f t="shared" si="53"/>
        <v>109.50000000000001</v>
      </c>
      <c r="X101" s="64">
        <f t="shared" si="53"/>
        <v>0.03</v>
      </c>
      <c r="Y101" s="64">
        <f t="shared" si="53"/>
        <v>6912.6500000000042</v>
      </c>
      <c r="Z101" s="65">
        <f t="shared" si="39"/>
        <v>1</v>
      </c>
      <c r="AB101" s="64">
        <f t="shared" si="40"/>
        <v>6502.6300000000019</v>
      </c>
      <c r="AC101" s="64">
        <f t="shared" si="41"/>
        <v>409.99</v>
      </c>
      <c r="AD101" s="64">
        <f t="shared" si="42"/>
        <v>0.03</v>
      </c>
      <c r="AE101" s="64">
        <f t="shared" si="43"/>
        <v>6912.6500000000015</v>
      </c>
      <c r="AF101" s="65">
        <f t="shared" si="44"/>
        <v>5.9310105386501548E-2</v>
      </c>
    </row>
    <row r="102" spans="1:32" x14ac:dyDescent="0.25">
      <c r="A102" t="s">
        <v>289</v>
      </c>
      <c r="C102" s="162">
        <f>B101+C101</f>
        <v>4772.2200000000021</v>
      </c>
      <c r="D102" s="162">
        <f>C102+D101</f>
        <v>4846.4300000000021</v>
      </c>
      <c r="E102" s="162">
        <f t="shared" ref="E102:V102" si="54">D102+E101</f>
        <v>4917.7200000000021</v>
      </c>
      <c r="F102" s="162">
        <f t="shared" si="54"/>
        <v>4965.590000000002</v>
      </c>
      <c r="G102" s="162">
        <f t="shared" si="54"/>
        <v>5037.2300000000023</v>
      </c>
      <c r="H102" s="162">
        <f t="shared" si="54"/>
        <v>5140.2000000000025</v>
      </c>
      <c r="I102" s="162">
        <f t="shared" si="54"/>
        <v>5175.0300000000025</v>
      </c>
      <c r="J102" s="162">
        <f t="shared" si="54"/>
        <v>5222.2000000000025</v>
      </c>
      <c r="K102" s="162">
        <f t="shared" si="54"/>
        <v>5288.4900000000025</v>
      </c>
      <c r="L102" s="162">
        <f t="shared" si="54"/>
        <v>5326.6900000000023</v>
      </c>
      <c r="M102" s="162">
        <f t="shared" si="54"/>
        <v>5430.1800000000021</v>
      </c>
      <c r="N102" s="162">
        <f t="shared" si="54"/>
        <v>5481.1100000000024</v>
      </c>
      <c r="O102" s="162">
        <f t="shared" si="54"/>
        <v>5557.4000000000024</v>
      </c>
      <c r="P102" s="162">
        <f t="shared" si="54"/>
        <v>5687.550000000002</v>
      </c>
      <c r="Q102" s="162">
        <f t="shared" si="54"/>
        <v>5879.7100000000019</v>
      </c>
      <c r="R102" s="162">
        <f t="shared" si="54"/>
        <v>6108.0400000000018</v>
      </c>
      <c r="S102" s="162">
        <f t="shared" si="54"/>
        <v>6320.300000000002</v>
      </c>
      <c r="T102" s="162">
        <f t="shared" si="54"/>
        <v>6502.6300000000019</v>
      </c>
      <c r="U102" s="162">
        <f t="shared" si="54"/>
        <v>6664.0300000000016</v>
      </c>
      <c r="V102" s="162">
        <f t="shared" si="54"/>
        <v>6803.1200000000017</v>
      </c>
      <c r="W102" s="162">
        <f>V102+W101</f>
        <v>6912.6200000000017</v>
      </c>
    </row>
    <row r="103" spans="1:32" x14ac:dyDescent="0.25">
      <c r="A103" t="s">
        <v>290</v>
      </c>
      <c r="D103" s="165">
        <f>D102/C102-1</f>
        <v>1.5550414691694936E-2</v>
      </c>
      <c r="E103" s="165">
        <f t="shared" ref="E103:W103" si="55">E102/D102-1</f>
        <v>1.4709796695712152E-2</v>
      </c>
      <c r="F103" s="165">
        <f t="shared" si="55"/>
        <v>9.7341857608810312E-3</v>
      </c>
      <c r="G103" s="165">
        <f t="shared" si="55"/>
        <v>1.4427288600146193E-2</v>
      </c>
      <c r="H103" s="165">
        <f t="shared" si="55"/>
        <v>2.0441790428469719E-2</v>
      </c>
      <c r="I103" s="165">
        <f t="shared" si="55"/>
        <v>6.7760009338158067E-3</v>
      </c>
      <c r="J103" s="165">
        <f t="shared" si="55"/>
        <v>9.1149230052771646E-3</v>
      </c>
      <c r="K103" s="165">
        <f t="shared" si="55"/>
        <v>1.2693883803760908E-2</v>
      </c>
      <c r="L103" s="165">
        <f t="shared" si="55"/>
        <v>7.2232338531414975E-3</v>
      </c>
      <c r="M103" s="165">
        <f t="shared" si="55"/>
        <v>1.9428575719630636E-2</v>
      </c>
      <c r="N103" s="165">
        <f t="shared" si="55"/>
        <v>9.3790629408234683E-3</v>
      </c>
      <c r="O103" s="165">
        <f t="shared" si="55"/>
        <v>1.3918713545248984E-2</v>
      </c>
      <c r="P103" s="165">
        <f t="shared" si="55"/>
        <v>2.3419224817360584E-2</v>
      </c>
      <c r="Q103" s="165">
        <f t="shared" si="55"/>
        <v>3.3786076605919924E-2</v>
      </c>
      <c r="R103" s="165">
        <f t="shared" si="55"/>
        <v>3.8833547913077249E-2</v>
      </c>
      <c r="S103" s="165">
        <f t="shared" si="55"/>
        <v>3.4750918461568636E-2</v>
      </c>
      <c r="T103" s="165">
        <f t="shared" si="55"/>
        <v>2.884831416230238E-2</v>
      </c>
      <c r="U103" s="165">
        <f t="shared" si="55"/>
        <v>2.4820726383017355E-2</v>
      </c>
      <c r="V103" s="165">
        <f t="shared" si="55"/>
        <v>2.087175477901515E-2</v>
      </c>
      <c r="W103" s="165">
        <f t="shared" si="55"/>
        <v>1.6095556156586976E-2</v>
      </c>
    </row>
    <row r="105" spans="1:32" ht="15.75" x14ac:dyDescent="0.25">
      <c r="A105" s="81" t="s">
        <v>94</v>
      </c>
      <c r="B105" s="82" t="s">
        <v>88</v>
      </c>
      <c r="C105" s="82">
        <v>2000</v>
      </c>
      <c r="D105" s="82">
        <v>2001</v>
      </c>
      <c r="E105" s="82">
        <v>2002</v>
      </c>
      <c r="F105" s="82">
        <v>2003</v>
      </c>
      <c r="G105" s="82">
        <v>2004</v>
      </c>
      <c r="H105" s="82">
        <v>2005</v>
      </c>
      <c r="I105" s="82">
        <v>2006</v>
      </c>
      <c r="J105" s="82">
        <v>2007</v>
      </c>
      <c r="K105" s="82">
        <v>2008</v>
      </c>
      <c r="L105" s="82">
        <v>2009</v>
      </c>
      <c r="M105" s="82">
        <v>2010</v>
      </c>
      <c r="N105" s="82">
        <v>2011</v>
      </c>
      <c r="O105" s="82">
        <v>2012</v>
      </c>
      <c r="P105" s="82">
        <v>2013</v>
      </c>
      <c r="Q105" s="82">
        <v>2014</v>
      </c>
      <c r="R105" s="82">
        <v>2015</v>
      </c>
      <c r="S105" s="82">
        <v>2016</v>
      </c>
      <c r="T105" s="82">
        <v>2017</v>
      </c>
      <c r="U105" s="82">
        <v>2018</v>
      </c>
      <c r="V105" s="82">
        <v>2019</v>
      </c>
      <c r="W105" s="82">
        <v>2020</v>
      </c>
      <c r="X105" s="83" t="s">
        <v>89</v>
      </c>
    </row>
    <row r="106" spans="1:32" x14ac:dyDescent="0.25">
      <c r="A106" s="70" t="s">
        <v>49</v>
      </c>
      <c r="B106" s="26">
        <f>B74/$Y$74</f>
        <v>0</v>
      </c>
      <c r="C106" s="26">
        <f t="shared" ref="C106:W106" si="56">C74/$Y$74</f>
        <v>0</v>
      </c>
      <c r="D106" s="26">
        <f t="shared" si="56"/>
        <v>0</v>
      </c>
      <c r="E106" s="26">
        <f t="shared" si="56"/>
        <v>0</v>
      </c>
      <c r="F106" s="26">
        <f t="shared" si="56"/>
        <v>0</v>
      </c>
      <c r="G106" s="26">
        <f t="shared" si="56"/>
        <v>0</v>
      </c>
      <c r="H106" s="26">
        <f t="shared" si="56"/>
        <v>0</v>
      </c>
      <c r="I106" s="26">
        <f t="shared" si="56"/>
        <v>0</v>
      </c>
      <c r="J106" s="26">
        <f t="shared" si="56"/>
        <v>0</v>
      </c>
      <c r="K106" s="26">
        <f t="shared" si="56"/>
        <v>0</v>
      </c>
      <c r="L106" s="26">
        <f t="shared" si="56"/>
        <v>0</v>
      </c>
      <c r="M106" s="26">
        <f t="shared" si="56"/>
        <v>0</v>
      </c>
      <c r="N106" s="26">
        <f t="shared" si="56"/>
        <v>0</v>
      </c>
      <c r="O106" s="26">
        <f t="shared" si="56"/>
        <v>0</v>
      </c>
      <c r="P106" s="26">
        <f t="shared" si="56"/>
        <v>0</v>
      </c>
      <c r="Q106" s="26">
        <f t="shared" si="56"/>
        <v>0</v>
      </c>
      <c r="R106" s="26">
        <f t="shared" si="56"/>
        <v>0</v>
      </c>
      <c r="S106" s="26">
        <f t="shared" si="56"/>
        <v>0</v>
      </c>
      <c r="T106" s="26">
        <f t="shared" si="56"/>
        <v>0</v>
      </c>
      <c r="U106" s="26">
        <f t="shared" si="56"/>
        <v>1</v>
      </c>
      <c r="V106" s="26">
        <f t="shared" si="56"/>
        <v>0</v>
      </c>
      <c r="W106" s="26">
        <f t="shared" si="56"/>
        <v>0</v>
      </c>
      <c r="X106" s="54">
        <f>X74/Y74</f>
        <v>0</v>
      </c>
    </row>
    <row r="107" spans="1:32" x14ac:dyDescent="0.25">
      <c r="A107" s="70" t="s">
        <v>50</v>
      </c>
      <c r="B107" s="26">
        <f>B76/$Y$76</f>
        <v>1.8592297476759632E-2</v>
      </c>
      <c r="C107" s="26">
        <f t="shared" ref="C107:W107" si="57">C76/$Y$76</f>
        <v>0</v>
      </c>
      <c r="D107" s="26">
        <f t="shared" si="57"/>
        <v>0.86454183266932272</v>
      </c>
      <c r="E107" s="26">
        <f t="shared" si="57"/>
        <v>6.2416998671978752E-2</v>
      </c>
      <c r="F107" s="26">
        <f t="shared" si="57"/>
        <v>0</v>
      </c>
      <c r="G107" s="26">
        <f t="shared" si="57"/>
        <v>0</v>
      </c>
      <c r="H107" s="26">
        <f t="shared" si="57"/>
        <v>1.3280212483399736E-2</v>
      </c>
      <c r="I107" s="26">
        <f t="shared" si="57"/>
        <v>0</v>
      </c>
      <c r="J107" s="26">
        <f t="shared" si="57"/>
        <v>0</v>
      </c>
      <c r="K107" s="26">
        <f t="shared" si="57"/>
        <v>3.7184594953519265E-2</v>
      </c>
      <c r="L107" s="26">
        <f t="shared" si="57"/>
        <v>0</v>
      </c>
      <c r="M107" s="26">
        <f t="shared" si="57"/>
        <v>0</v>
      </c>
      <c r="N107" s="26">
        <f t="shared" si="57"/>
        <v>0</v>
      </c>
      <c r="O107" s="26">
        <f t="shared" si="57"/>
        <v>0</v>
      </c>
      <c r="P107" s="26">
        <f t="shared" si="57"/>
        <v>0</v>
      </c>
      <c r="Q107" s="26">
        <f t="shared" si="57"/>
        <v>0</v>
      </c>
      <c r="R107" s="26">
        <f t="shared" si="57"/>
        <v>0</v>
      </c>
      <c r="S107" s="26">
        <f t="shared" si="57"/>
        <v>0</v>
      </c>
      <c r="T107" s="26">
        <f t="shared" si="57"/>
        <v>0</v>
      </c>
      <c r="U107" s="26">
        <f t="shared" si="57"/>
        <v>0</v>
      </c>
      <c r="V107" s="26">
        <f t="shared" si="57"/>
        <v>0</v>
      </c>
      <c r="W107" s="26">
        <f t="shared" si="57"/>
        <v>0</v>
      </c>
      <c r="X107" s="51">
        <f>X76/Y76</f>
        <v>3.9840637450199202E-3</v>
      </c>
    </row>
    <row r="108" spans="1:32" x14ac:dyDescent="0.25">
      <c r="A108" s="70" t="s">
        <v>60</v>
      </c>
      <c r="B108" s="26">
        <f>B80/$Y$80</f>
        <v>0.99633699633699646</v>
      </c>
      <c r="C108" s="26">
        <f t="shared" ref="C108:W108" si="58">C80/$Y$80</f>
        <v>0</v>
      </c>
      <c r="D108" s="26">
        <f t="shared" si="58"/>
        <v>0</v>
      </c>
      <c r="E108" s="26">
        <f t="shared" si="58"/>
        <v>0</v>
      </c>
      <c r="F108" s="26">
        <f t="shared" si="58"/>
        <v>0</v>
      </c>
      <c r="G108" s="26">
        <f t="shared" si="58"/>
        <v>0</v>
      </c>
      <c r="H108" s="26">
        <f t="shared" si="58"/>
        <v>0</v>
      </c>
      <c r="I108" s="26">
        <f t="shared" si="58"/>
        <v>0</v>
      </c>
      <c r="J108" s="26">
        <f t="shared" si="58"/>
        <v>0</v>
      </c>
      <c r="K108" s="26">
        <f t="shared" si="58"/>
        <v>0</v>
      </c>
      <c r="L108" s="26">
        <f t="shared" si="58"/>
        <v>0</v>
      </c>
      <c r="M108" s="26">
        <f t="shared" si="58"/>
        <v>0</v>
      </c>
      <c r="N108" s="26">
        <f t="shared" si="58"/>
        <v>0</v>
      </c>
      <c r="O108" s="26">
        <f t="shared" si="58"/>
        <v>0</v>
      </c>
      <c r="P108" s="26">
        <f t="shared" si="58"/>
        <v>0</v>
      </c>
      <c r="Q108" s="26">
        <f t="shared" si="58"/>
        <v>0</v>
      </c>
      <c r="R108" s="26">
        <f t="shared" si="58"/>
        <v>0</v>
      </c>
      <c r="S108" s="26">
        <f t="shared" si="58"/>
        <v>0</v>
      </c>
      <c r="T108" s="26">
        <f t="shared" si="58"/>
        <v>0</v>
      </c>
      <c r="U108" s="26">
        <f t="shared" si="58"/>
        <v>0</v>
      </c>
      <c r="V108" s="26">
        <f t="shared" si="58"/>
        <v>0</v>
      </c>
      <c r="W108" s="26">
        <f t="shared" si="58"/>
        <v>3.6630036630036639E-3</v>
      </c>
      <c r="X108" s="54">
        <f>X80/Y80</f>
        <v>0</v>
      </c>
    </row>
    <row r="109" spans="1:32" x14ac:dyDescent="0.25">
      <c r="A109" s="70" t="s">
        <v>51</v>
      </c>
      <c r="B109" s="26">
        <f>B83/$Y$83</f>
        <v>0.64938698623157376</v>
      </c>
      <c r="C109" s="26">
        <f t="shared" ref="C109:W109" si="59">C83/$Y$83</f>
        <v>4.3605353643872614E-2</v>
      </c>
      <c r="D109" s="26">
        <f t="shared" si="59"/>
        <v>9.8553863981110223E-3</v>
      </c>
      <c r="E109" s="26">
        <f t="shared" si="59"/>
        <v>1.0309578503902845E-2</v>
      </c>
      <c r="F109" s="26">
        <f t="shared" si="59"/>
        <v>6.9642789554746117E-3</v>
      </c>
      <c r="G109" s="26">
        <f t="shared" si="59"/>
        <v>1.042894950606608E-2</v>
      </c>
      <c r="H109" s="26">
        <f t="shared" si="59"/>
        <v>1.4975237795770766E-2</v>
      </c>
      <c r="I109" s="26">
        <f t="shared" si="59"/>
        <v>5.0703561040798652E-3</v>
      </c>
      <c r="J109" s="26">
        <f t="shared" si="59"/>
        <v>6.8667441122436763E-3</v>
      </c>
      <c r="K109" s="26">
        <f t="shared" si="59"/>
        <v>9.6093656741404517E-3</v>
      </c>
      <c r="L109" s="26">
        <f t="shared" si="59"/>
        <v>5.5609418080921867E-3</v>
      </c>
      <c r="M109" s="26">
        <f t="shared" si="59"/>
        <v>1.4123627597411096E-2</v>
      </c>
      <c r="N109" s="26">
        <f t="shared" si="59"/>
        <v>7.4141038294799752E-3</v>
      </c>
      <c r="O109" s="26">
        <f t="shared" si="59"/>
        <v>1.1105870432967352E-2</v>
      </c>
      <c r="P109" s="26">
        <f t="shared" si="59"/>
        <v>1.8658269935685222E-2</v>
      </c>
      <c r="Q109" s="26">
        <f t="shared" si="59"/>
        <v>2.7973575336204044E-2</v>
      </c>
      <c r="R109" s="26">
        <f t="shared" si="59"/>
        <v>3.2863419193110234E-2</v>
      </c>
      <c r="S109" s="26">
        <f t="shared" si="59"/>
        <v>3.0717652642029639E-2</v>
      </c>
      <c r="T109" s="26">
        <f t="shared" si="59"/>
        <v>2.6542579054174037E-2</v>
      </c>
      <c r="U109" s="26">
        <f t="shared" si="59"/>
        <v>2.3373424521133022E-2</v>
      </c>
      <c r="V109" s="26">
        <f t="shared" si="59"/>
        <v>1.9387597644024018E-2</v>
      </c>
      <c r="W109" s="26">
        <f t="shared" si="59"/>
        <v>1.5206701080453137E-2</v>
      </c>
      <c r="X109" s="54">
        <f>X83/Y83</f>
        <v>0</v>
      </c>
    </row>
    <row r="110" spans="1:32" x14ac:dyDescent="0.25">
      <c r="A110" s="70" t="s">
        <v>52</v>
      </c>
      <c r="B110" s="26">
        <f>B88/$Y$88</f>
        <v>0</v>
      </c>
      <c r="C110" s="26">
        <f t="shared" ref="C110:W110" si="60">C88/$Y$88</f>
        <v>0</v>
      </c>
      <c r="D110" s="26">
        <f t="shared" si="60"/>
        <v>0</v>
      </c>
      <c r="E110" s="26">
        <f t="shared" si="60"/>
        <v>0</v>
      </c>
      <c r="F110" s="26">
        <f t="shared" si="60"/>
        <v>0</v>
      </c>
      <c r="G110" s="26">
        <f t="shared" si="60"/>
        <v>0</v>
      </c>
      <c r="H110" s="26">
        <f t="shared" si="60"/>
        <v>0</v>
      </c>
      <c r="I110" s="26">
        <f t="shared" si="60"/>
        <v>0</v>
      </c>
      <c r="J110" s="26">
        <f t="shared" si="60"/>
        <v>0</v>
      </c>
      <c r="K110" s="26">
        <f t="shared" si="60"/>
        <v>0</v>
      </c>
      <c r="L110" s="26">
        <f t="shared" si="60"/>
        <v>0</v>
      </c>
      <c r="M110" s="26">
        <f t="shared" si="60"/>
        <v>0.70362239297475293</v>
      </c>
      <c r="N110" s="26">
        <f t="shared" si="60"/>
        <v>0</v>
      </c>
      <c r="O110" s="26">
        <f t="shared" si="60"/>
        <v>0</v>
      </c>
      <c r="P110" s="26">
        <f t="shared" si="60"/>
        <v>0.2173435784851811</v>
      </c>
      <c r="Q110" s="26">
        <f t="shared" si="60"/>
        <v>0</v>
      </c>
      <c r="R110" s="26">
        <f t="shared" si="60"/>
        <v>0</v>
      </c>
      <c r="S110" s="26">
        <f t="shared" si="60"/>
        <v>4.390779363336992E-2</v>
      </c>
      <c r="T110" s="26">
        <f t="shared" si="60"/>
        <v>0</v>
      </c>
      <c r="U110" s="26">
        <f t="shared" si="60"/>
        <v>3.5126234906695933E-2</v>
      </c>
      <c r="V110" s="26">
        <f t="shared" si="60"/>
        <v>0</v>
      </c>
      <c r="W110" s="26">
        <f t="shared" si="60"/>
        <v>0</v>
      </c>
      <c r="X110" s="54">
        <f>X88/Y88</f>
        <v>0</v>
      </c>
    </row>
    <row r="111" spans="1:32" x14ac:dyDescent="0.25">
      <c r="A111" s="70" t="s">
        <v>53</v>
      </c>
      <c r="B111" s="26">
        <f>B91/$Y$91</f>
        <v>0</v>
      </c>
      <c r="C111" s="26">
        <f t="shared" ref="C111:W111" si="61">C91/$Y$91</f>
        <v>0</v>
      </c>
      <c r="D111" s="26">
        <f t="shared" si="61"/>
        <v>0</v>
      </c>
      <c r="E111" s="26">
        <f t="shared" si="61"/>
        <v>0</v>
      </c>
      <c r="F111" s="26">
        <f t="shared" si="61"/>
        <v>0</v>
      </c>
      <c r="G111" s="26">
        <f t="shared" si="61"/>
        <v>0</v>
      </c>
      <c r="H111" s="26">
        <f t="shared" si="61"/>
        <v>0</v>
      </c>
      <c r="I111" s="26">
        <f t="shared" si="61"/>
        <v>0</v>
      </c>
      <c r="J111" s="26">
        <f t="shared" si="61"/>
        <v>0</v>
      </c>
      <c r="K111" s="26">
        <f t="shared" si="61"/>
        <v>0</v>
      </c>
      <c r="L111" s="26">
        <f t="shared" si="61"/>
        <v>0</v>
      </c>
      <c r="M111" s="26">
        <f t="shared" si="61"/>
        <v>0</v>
      </c>
      <c r="N111" s="26">
        <f t="shared" si="61"/>
        <v>0</v>
      </c>
      <c r="O111" s="26">
        <f t="shared" si="61"/>
        <v>0</v>
      </c>
      <c r="P111" s="26">
        <f t="shared" si="61"/>
        <v>0</v>
      </c>
      <c r="Q111" s="26">
        <f t="shared" si="61"/>
        <v>0</v>
      </c>
      <c r="R111" s="26">
        <f t="shared" si="61"/>
        <v>0.72934472934472938</v>
      </c>
      <c r="S111" s="26">
        <f t="shared" si="61"/>
        <v>0.24216524216524218</v>
      </c>
      <c r="T111" s="26">
        <f t="shared" si="61"/>
        <v>0</v>
      </c>
      <c r="U111" s="26">
        <f t="shared" si="61"/>
        <v>2.8490028490028491E-3</v>
      </c>
      <c r="V111" s="26">
        <f t="shared" si="61"/>
        <v>2.564102564102564E-2</v>
      </c>
      <c r="W111" s="26">
        <f t="shared" si="61"/>
        <v>0</v>
      </c>
      <c r="X111" s="54">
        <f>X91/Y91</f>
        <v>0</v>
      </c>
    </row>
    <row r="112" spans="1:32" x14ac:dyDescent="0.25">
      <c r="A112" s="70" t="s">
        <v>54</v>
      </c>
      <c r="B112" s="26">
        <f>B95/$Y$95</f>
        <v>0</v>
      </c>
      <c r="C112" s="26">
        <f t="shared" ref="C112:W112" si="62">C95/$Y$95</f>
        <v>0</v>
      </c>
      <c r="D112" s="26">
        <f t="shared" si="62"/>
        <v>0</v>
      </c>
      <c r="E112" s="26">
        <f t="shared" si="62"/>
        <v>0</v>
      </c>
      <c r="F112" s="26">
        <f t="shared" si="62"/>
        <v>0</v>
      </c>
      <c r="G112" s="26">
        <f t="shared" si="62"/>
        <v>0</v>
      </c>
      <c r="H112" s="26">
        <f t="shared" si="62"/>
        <v>0</v>
      </c>
      <c r="I112" s="26">
        <f t="shared" si="62"/>
        <v>0</v>
      </c>
      <c r="J112" s="26">
        <f t="shared" si="62"/>
        <v>0</v>
      </c>
      <c r="K112" s="26">
        <f t="shared" si="62"/>
        <v>0</v>
      </c>
      <c r="L112" s="26">
        <f t="shared" si="62"/>
        <v>0</v>
      </c>
      <c r="M112" s="26">
        <f t="shared" si="62"/>
        <v>5.4644808743169399E-3</v>
      </c>
      <c r="N112" s="26">
        <f t="shared" si="62"/>
        <v>0</v>
      </c>
      <c r="O112" s="26">
        <f t="shared" si="62"/>
        <v>0</v>
      </c>
      <c r="P112" s="26">
        <f t="shared" si="62"/>
        <v>0</v>
      </c>
      <c r="Q112" s="26">
        <f t="shared" si="62"/>
        <v>0</v>
      </c>
      <c r="R112" s="26">
        <f t="shared" si="62"/>
        <v>1.8214936247723133E-3</v>
      </c>
      <c r="S112" s="26">
        <f t="shared" si="62"/>
        <v>0</v>
      </c>
      <c r="T112" s="26">
        <f t="shared" si="62"/>
        <v>0</v>
      </c>
      <c r="U112" s="26">
        <f t="shared" si="62"/>
        <v>7.2859744990892532E-3</v>
      </c>
      <c r="V112" s="26">
        <f t="shared" si="62"/>
        <v>0.5300546448087432</v>
      </c>
      <c r="W112" s="26">
        <f t="shared" si="62"/>
        <v>0.45537340619307831</v>
      </c>
      <c r="X112" s="54">
        <f>X95/Y95</f>
        <v>0</v>
      </c>
    </row>
    <row r="113" spans="1:24" x14ac:dyDescent="0.25">
      <c r="A113" s="70" t="s">
        <v>55</v>
      </c>
      <c r="B113" s="26">
        <f>B97/$Y$97</f>
        <v>1</v>
      </c>
      <c r="C113" s="26">
        <f t="shared" ref="C113:W113" si="63">C97/$Y$97</f>
        <v>0</v>
      </c>
      <c r="D113" s="26">
        <f t="shared" si="63"/>
        <v>0</v>
      </c>
      <c r="E113" s="26">
        <f t="shared" si="63"/>
        <v>0</v>
      </c>
      <c r="F113" s="26">
        <f t="shared" si="63"/>
        <v>0</v>
      </c>
      <c r="G113" s="26">
        <f t="shared" si="63"/>
        <v>0</v>
      </c>
      <c r="H113" s="26">
        <f t="shared" si="63"/>
        <v>0</v>
      </c>
      <c r="I113" s="26">
        <f t="shared" si="63"/>
        <v>0</v>
      </c>
      <c r="J113" s="26">
        <f t="shared" si="63"/>
        <v>0</v>
      </c>
      <c r="K113" s="26">
        <f t="shared" si="63"/>
        <v>0</v>
      </c>
      <c r="L113" s="26">
        <f t="shared" si="63"/>
        <v>0</v>
      </c>
      <c r="M113" s="26">
        <f t="shared" si="63"/>
        <v>0</v>
      </c>
      <c r="N113" s="26">
        <f t="shared" si="63"/>
        <v>0</v>
      </c>
      <c r="O113" s="26">
        <f t="shared" si="63"/>
        <v>0</v>
      </c>
      <c r="P113" s="26">
        <f t="shared" si="63"/>
        <v>0</v>
      </c>
      <c r="Q113" s="26">
        <f t="shared" si="63"/>
        <v>0</v>
      </c>
      <c r="R113" s="26">
        <f t="shared" si="63"/>
        <v>0</v>
      </c>
      <c r="S113" s="26">
        <f t="shared" si="63"/>
        <v>0</v>
      </c>
      <c r="T113" s="26">
        <f t="shared" si="63"/>
        <v>0</v>
      </c>
      <c r="U113" s="26">
        <f t="shared" si="63"/>
        <v>0</v>
      </c>
      <c r="V113" s="26">
        <f t="shared" si="63"/>
        <v>0</v>
      </c>
      <c r="W113" s="26">
        <f t="shared" si="63"/>
        <v>0</v>
      </c>
      <c r="X113" s="54">
        <f>X97/Y97</f>
        <v>0</v>
      </c>
    </row>
    <row r="114" spans="1:24" x14ac:dyDescent="0.25">
      <c r="A114" s="70" t="s">
        <v>57</v>
      </c>
      <c r="B114" s="26">
        <f>B99/$Y$99</f>
        <v>0</v>
      </c>
      <c r="C114" s="26">
        <f t="shared" ref="C114:W114" si="64">C99/$Y$99</f>
        <v>0</v>
      </c>
      <c r="D114" s="26">
        <f t="shared" si="64"/>
        <v>0</v>
      </c>
      <c r="E114" s="26">
        <f t="shared" si="64"/>
        <v>0</v>
      </c>
      <c r="F114" s="26">
        <f t="shared" si="64"/>
        <v>1</v>
      </c>
      <c r="G114" s="26">
        <f t="shared" si="64"/>
        <v>0</v>
      </c>
      <c r="H114" s="26">
        <f t="shared" si="64"/>
        <v>0</v>
      </c>
      <c r="I114" s="26">
        <f t="shared" si="64"/>
        <v>0</v>
      </c>
      <c r="J114" s="26">
        <f t="shared" si="64"/>
        <v>0</v>
      </c>
      <c r="K114" s="26">
        <f t="shared" si="64"/>
        <v>0</v>
      </c>
      <c r="L114" s="26">
        <f t="shared" si="64"/>
        <v>0</v>
      </c>
      <c r="M114" s="26">
        <f t="shared" si="64"/>
        <v>0</v>
      </c>
      <c r="N114" s="26">
        <f t="shared" si="64"/>
        <v>0</v>
      </c>
      <c r="O114" s="26">
        <f t="shared" si="64"/>
        <v>0</v>
      </c>
      <c r="P114" s="26">
        <f t="shared" si="64"/>
        <v>0</v>
      </c>
      <c r="Q114" s="26">
        <f t="shared" si="64"/>
        <v>0</v>
      </c>
      <c r="R114" s="26">
        <f t="shared" si="64"/>
        <v>0</v>
      </c>
      <c r="S114" s="26">
        <f t="shared" si="64"/>
        <v>0</v>
      </c>
      <c r="T114" s="26">
        <f t="shared" si="64"/>
        <v>0</v>
      </c>
      <c r="U114" s="26">
        <f t="shared" si="64"/>
        <v>0</v>
      </c>
      <c r="V114" s="26">
        <f t="shared" si="64"/>
        <v>0</v>
      </c>
      <c r="W114" s="26">
        <f t="shared" si="64"/>
        <v>0</v>
      </c>
      <c r="X114" s="54">
        <f>X99/Y99</f>
        <v>0</v>
      </c>
    </row>
    <row r="115" spans="1:24" x14ac:dyDescent="0.25">
      <c r="A115" s="70" t="s">
        <v>59</v>
      </c>
      <c r="B115" s="26">
        <f>B101/$Y$101</f>
        <v>0.64702827425082987</v>
      </c>
      <c r="C115" s="26">
        <f t="shared" ref="C115:W115" si="65">C101/$Y$101</f>
        <v>4.3332151924370524E-2</v>
      </c>
      <c r="D115" s="26">
        <f t="shared" si="65"/>
        <v>1.0735390913759552E-2</v>
      </c>
      <c r="E115" s="26">
        <f t="shared" si="65"/>
        <v>1.0312976933592755E-2</v>
      </c>
      <c r="F115" s="26">
        <f t="shared" si="65"/>
        <v>6.9249853529398959E-3</v>
      </c>
      <c r="G115" s="26">
        <f t="shared" si="65"/>
        <v>1.0363608746283981E-2</v>
      </c>
      <c r="H115" s="26">
        <f t="shared" si="65"/>
        <v>1.4895879293758536E-2</v>
      </c>
      <c r="I115" s="26">
        <f t="shared" si="65"/>
        <v>5.0385886743868095E-3</v>
      </c>
      <c r="J115" s="26">
        <f t="shared" si="65"/>
        <v>6.8237217275574453E-3</v>
      </c>
      <c r="K115" s="26">
        <f t="shared" si="65"/>
        <v>9.5896653237181068E-3</v>
      </c>
      <c r="L115" s="26">
        <f t="shared" si="65"/>
        <v>5.5261006994423234E-3</v>
      </c>
      <c r="M115" s="26">
        <f t="shared" si="65"/>
        <v>1.4971103701185498E-2</v>
      </c>
      <c r="N115" s="26">
        <f t="shared" si="65"/>
        <v>7.3676520581831811E-3</v>
      </c>
      <c r="O115" s="26">
        <f t="shared" si="65"/>
        <v>1.1036288543467403E-2</v>
      </c>
      <c r="P115" s="26">
        <f t="shared" si="65"/>
        <v>1.8827801205037128E-2</v>
      </c>
      <c r="Q115" s="26">
        <f t="shared" si="65"/>
        <v>2.7798311790702534E-2</v>
      </c>
      <c r="R115" s="26">
        <f t="shared" si="65"/>
        <v>3.3030747976535754E-2</v>
      </c>
      <c r="S115" s="26">
        <f t="shared" si="65"/>
        <v>3.0706024462398625E-2</v>
      </c>
      <c r="T115" s="26">
        <f t="shared" si="65"/>
        <v>2.6376281165688971E-2</v>
      </c>
      <c r="U115" s="26">
        <f t="shared" si="65"/>
        <v>2.3348498766753691E-2</v>
      </c>
      <c r="V115" s="26">
        <f t="shared" si="65"/>
        <v>2.0121082363493005E-2</v>
      </c>
      <c r="W115" s="26">
        <f t="shared" si="65"/>
        <v>1.5840524256254828E-2</v>
      </c>
      <c r="X115" s="54">
        <f>X101/Y101</f>
        <v>4.3398696592478976E-6</v>
      </c>
    </row>
  </sheetData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6"/>
  <sheetViews>
    <sheetView topLeftCell="AB1" zoomScaleNormal="100" workbookViewId="0">
      <selection activeCell="AL75" sqref="AL75"/>
    </sheetView>
  </sheetViews>
  <sheetFormatPr baseColWidth="10" defaultRowHeight="15" x14ac:dyDescent="0.25"/>
  <cols>
    <col min="1" max="1" width="29.42578125" customWidth="1"/>
    <col min="24" max="24" width="16" customWidth="1"/>
    <col min="25" max="26" width="16.140625" customWidth="1"/>
  </cols>
  <sheetData>
    <row r="1" spans="1:37" x14ac:dyDescent="0.25">
      <c r="C1" s="2" t="s">
        <v>0</v>
      </c>
      <c r="D1" s="176" t="s">
        <v>1</v>
      </c>
      <c r="E1" s="2" t="s">
        <v>216</v>
      </c>
      <c r="F1" t="s">
        <v>228</v>
      </c>
    </row>
    <row r="2" spans="1:37" x14ac:dyDescent="0.25">
      <c r="C2" s="2"/>
      <c r="D2" s="176"/>
      <c r="E2" s="2"/>
      <c r="F2" t="s">
        <v>320</v>
      </c>
    </row>
    <row r="3" spans="1:37" ht="18.75" x14ac:dyDescent="0.3">
      <c r="A3" s="39" t="s">
        <v>10</v>
      </c>
      <c r="D3" s="33"/>
      <c r="Z3" s="35"/>
    </row>
    <row r="4" spans="1:37" ht="31.5" customHeight="1" x14ac:dyDescent="0.25">
      <c r="A4" s="36" t="s">
        <v>2</v>
      </c>
      <c r="B4" s="37" t="s">
        <v>88</v>
      </c>
      <c r="C4" s="37">
        <v>2000</v>
      </c>
      <c r="D4" s="37">
        <v>2001</v>
      </c>
      <c r="E4" s="37">
        <v>2002</v>
      </c>
      <c r="F4" s="37">
        <v>2003</v>
      </c>
      <c r="G4" s="37">
        <v>2004</v>
      </c>
      <c r="H4" s="37">
        <v>2005</v>
      </c>
      <c r="I4" s="37">
        <v>2006</v>
      </c>
      <c r="J4" s="37">
        <v>2007</v>
      </c>
      <c r="K4" s="37">
        <v>2008</v>
      </c>
      <c r="L4" s="37">
        <v>2009</v>
      </c>
      <c r="M4" s="37">
        <v>2010</v>
      </c>
      <c r="N4" s="37">
        <v>2011</v>
      </c>
      <c r="O4" s="37">
        <v>2012</v>
      </c>
      <c r="P4" s="37">
        <v>2013</v>
      </c>
      <c r="Q4" s="37">
        <v>2014</v>
      </c>
      <c r="R4" s="37">
        <v>2015</v>
      </c>
      <c r="S4" s="37">
        <v>2016</v>
      </c>
      <c r="T4" s="37">
        <v>2017</v>
      </c>
      <c r="U4" s="37">
        <v>2018</v>
      </c>
      <c r="V4" s="37">
        <v>2019</v>
      </c>
      <c r="W4" s="37">
        <v>2020</v>
      </c>
      <c r="X4" s="36" t="s">
        <v>89</v>
      </c>
      <c r="Y4" s="36" t="s">
        <v>90</v>
      </c>
      <c r="Z4" s="150" t="s">
        <v>91</v>
      </c>
      <c r="AB4" s="196" t="s">
        <v>250</v>
      </c>
      <c r="AC4" s="196" t="s">
        <v>251</v>
      </c>
      <c r="AD4" s="196" t="s">
        <v>252</v>
      </c>
      <c r="AE4" s="196" t="s">
        <v>103</v>
      </c>
      <c r="AF4" s="196" t="s">
        <v>254</v>
      </c>
      <c r="AI4" s="251" t="s">
        <v>291</v>
      </c>
      <c r="AJ4" s="251" t="s">
        <v>103</v>
      </c>
      <c r="AK4" s="251" t="s">
        <v>292</v>
      </c>
    </row>
    <row r="5" spans="1:37" x14ac:dyDescent="0.25">
      <c r="A5" s="44" t="s">
        <v>49</v>
      </c>
      <c r="B5" s="45">
        <f t="shared" ref="B5:X5" si="0">SUM(B6:B12)</f>
        <v>197.34</v>
      </c>
      <c r="C5" s="45">
        <f t="shared" si="0"/>
        <v>31.72</v>
      </c>
      <c r="D5" s="45">
        <f t="shared" si="0"/>
        <v>0</v>
      </c>
      <c r="E5" s="45">
        <f t="shared" si="0"/>
        <v>0.03</v>
      </c>
      <c r="F5" s="45">
        <f t="shared" si="0"/>
        <v>0.27999999999999997</v>
      </c>
      <c r="G5" s="45">
        <f t="shared" si="0"/>
        <v>31.29</v>
      </c>
      <c r="H5" s="45">
        <f t="shared" si="0"/>
        <v>24.060000000000002</v>
      </c>
      <c r="I5" s="45">
        <f t="shared" si="0"/>
        <v>0</v>
      </c>
      <c r="J5" s="45">
        <f t="shared" si="0"/>
        <v>0.21</v>
      </c>
      <c r="K5" s="45">
        <f t="shared" si="0"/>
        <v>0</v>
      </c>
      <c r="L5" s="45">
        <f t="shared" si="0"/>
        <v>6.59</v>
      </c>
      <c r="M5" s="45">
        <f t="shared" si="0"/>
        <v>1.05</v>
      </c>
      <c r="N5" s="45">
        <f t="shared" si="0"/>
        <v>0</v>
      </c>
      <c r="O5" s="45">
        <f t="shared" si="0"/>
        <v>0</v>
      </c>
      <c r="P5" s="45">
        <f t="shared" si="0"/>
        <v>0</v>
      </c>
      <c r="Q5" s="45">
        <f t="shared" si="0"/>
        <v>0.15</v>
      </c>
      <c r="R5" s="45">
        <f t="shared" si="0"/>
        <v>12.969999999999999</v>
      </c>
      <c r="S5" s="45">
        <f t="shared" si="0"/>
        <v>2.33</v>
      </c>
      <c r="T5" s="45">
        <f t="shared" si="0"/>
        <v>52.76</v>
      </c>
      <c r="U5" s="45">
        <f t="shared" si="0"/>
        <v>2.2999999999999998</v>
      </c>
      <c r="V5" s="45">
        <f t="shared" si="0"/>
        <v>2.8</v>
      </c>
      <c r="W5" s="45">
        <f t="shared" si="0"/>
        <v>16.18</v>
      </c>
      <c r="X5" s="45">
        <f t="shared" si="0"/>
        <v>0.11</v>
      </c>
      <c r="Y5" s="45">
        <f>SUM(Y6:Y12)</f>
        <v>1016.05</v>
      </c>
      <c r="Z5" s="46">
        <f t="shared" ref="Z5:Z27" si="1">Y5/$Y$27</f>
        <v>7.0699789093980864E-2</v>
      </c>
      <c r="AB5" s="45">
        <f>SUM(B5:S5)</f>
        <v>308.01999999999992</v>
      </c>
      <c r="AC5" s="45">
        <f>SUM(T5:W5)</f>
        <v>74.039999999999992</v>
      </c>
      <c r="AD5" s="45">
        <f>X5</f>
        <v>0.11</v>
      </c>
      <c r="AE5" s="45">
        <v>1016.05</v>
      </c>
      <c r="AF5" s="46">
        <f>AC5/AE5</f>
        <v>7.2870429604842274E-2</v>
      </c>
      <c r="AH5" s="44" t="s">
        <v>49</v>
      </c>
      <c r="AI5" s="162">
        <f>AC5</f>
        <v>74.039999999999992</v>
      </c>
      <c r="AJ5" s="162">
        <f>AE5</f>
        <v>1016.05</v>
      </c>
      <c r="AK5" s="249">
        <f>AI5/AJ5</f>
        <v>7.2870429604842274E-2</v>
      </c>
    </row>
    <row r="6" spans="1:37" x14ac:dyDescent="0.25">
      <c r="A6" s="13" t="s">
        <v>11</v>
      </c>
      <c r="B6" s="14">
        <v>5.03</v>
      </c>
      <c r="C6" s="14">
        <v>1.78</v>
      </c>
      <c r="D6" s="14"/>
      <c r="E6" s="14">
        <v>0.03</v>
      </c>
      <c r="F6" s="14">
        <v>0.04</v>
      </c>
      <c r="G6" s="14"/>
      <c r="H6" s="14">
        <v>0.04</v>
      </c>
      <c r="I6" s="14"/>
      <c r="J6" s="14"/>
      <c r="K6" s="14"/>
      <c r="L6" s="14"/>
      <c r="M6" s="14">
        <v>0.04</v>
      </c>
      <c r="N6" s="14"/>
      <c r="O6" s="14"/>
      <c r="P6" s="14"/>
      <c r="Q6" s="14"/>
      <c r="R6" s="14">
        <v>0.31</v>
      </c>
      <c r="S6" s="14"/>
      <c r="T6" s="14"/>
      <c r="U6" s="14"/>
      <c r="V6" s="14"/>
      <c r="W6" s="14"/>
      <c r="X6" s="14">
        <v>0.11</v>
      </c>
      <c r="Y6" s="328">
        <v>8.3800000000000008</v>
      </c>
      <c r="Z6" s="26">
        <f t="shared" si="1"/>
        <v>5.8310539108071436E-4</v>
      </c>
      <c r="AB6" s="14">
        <f t="shared" ref="AB6:AB27" si="2">SUM(B6:S6)</f>
        <v>7.2700000000000005</v>
      </c>
      <c r="AC6" s="14">
        <f t="shared" ref="AC6:AC27" si="3">SUM(T6:W6)</f>
        <v>0</v>
      </c>
      <c r="AD6" s="14">
        <f t="shared" ref="AD6:AD27" si="4">X6</f>
        <v>0.11</v>
      </c>
      <c r="AE6" s="14">
        <v>8.3800000000000008</v>
      </c>
      <c r="AF6" s="26">
        <f t="shared" ref="AF6:AF27" si="5">AC6/AE6</f>
        <v>0</v>
      </c>
      <c r="AH6" s="44" t="s">
        <v>51</v>
      </c>
      <c r="AI6" s="162">
        <f>AC17</f>
        <v>50.069999999999993</v>
      </c>
      <c r="AJ6" s="162">
        <f>AE17</f>
        <v>3616.1200000000003</v>
      </c>
      <c r="AK6" s="249">
        <f t="shared" ref="AK6:AK9" si="6">AI6/AJ6</f>
        <v>1.384633253321239E-2</v>
      </c>
    </row>
    <row r="7" spans="1:37" x14ac:dyDescent="0.25">
      <c r="A7" s="13" t="s">
        <v>12</v>
      </c>
      <c r="B7" s="14">
        <v>2.9699999999999998</v>
      </c>
      <c r="C7" s="14">
        <v>17.37</v>
      </c>
      <c r="D7" s="14"/>
      <c r="E7" s="14"/>
      <c r="F7" s="14"/>
      <c r="G7" s="14">
        <v>27.96</v>
      </c>
      <c r="H7" s="14">
        <v>0.06</v>
      </c>
      <c r="I7" s="14"/>
      <c r="J7" s="14">
        <v>0.21</v>
      </c>
      <c r="K7" s="14"/>
      <c r="L7" s="14">
        <v>0.38</v>
      </c>
      <c r="M7" s="14">
        <v>0.05</v>
      </c>
      <c r="N7" s="14"/>
      <c r="O7" s="14"/>
      <c r="P7" s="14"/>
      <c r="Q7" s="14"/>
      <c r="R7" s="14">
        <v>0.28999999999999998</v>
      </c>
      <c r="S7" s="14">
        <v>0.81</v>
      </c>
      <c r="T7" s="14">
        <v>52.66</v>
      </c>
      <c r="U7" s="14"/>
      <c r="V7" s="14"/>
      <c r="W7" s="14"/>
      <c r="X7" s="14"/>
      <c r="Y7" s="328">
        <v>102.38</v>
      </c>
      <c r="Z7" s="26">
        <f t="shared" si="1"/>
        <v>7.1239057206257186E-3</v>
      </c>
      <c r="AB7" s="14">
        <f t="shared" si="2"/>
        <v>50.1</v>
      </c>
      <c r="AC7" s="14">
        <f t="shared" si="3"/>
        <v>52.66</v>
      </c>
      <c r="AD7" s="14">
        <f t="shared" si="4"/>
        <v>0</v>
      </c>
      <c r="AE7" s="14">
        <v>102.38</v>
      </c>
      <c r="AF7" s="26">
        <f t="shared" si="5"/>
        <v>0.51435827310021487</v>
      </c>
      <c r="AH7" s="44" t="s">
        <v>75</v>
      </c>
      <c r="AI7" s="162">
        <f>AC23</f>
        <v>67.430000000000007</v>
      </c>
      <c r="AJ7" s="162">
        <f>AE23</f>
        <v>2038.2099999999998</v>
      </c>
      <c r="AK7" s="249">
        <f t="shared" si="6"/>
        <v>3.3082950235746075E-2</v>
      </c>
    </row>
    <row r="8" spans="1:37" x14ac:dyDescent="0.25">
      <c r="A8" s="13" t="s">
        <v>14</v>
      </c>
      <c r="B8" s="14">
        <v>18.41</v>
      </c>
      <c r="C8" s="14">
        <v>0.34</v>
      </c>
      <c r="D8" s="14"/>
      <c r="E8" s="14"/>
      <c r="F8" s="14"/>
      <c r="G8" s="14">
        <v>1.79</v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328">
        <v>20.54</v>
      </c>
      <c r="Z8" s="26">
        <f t="shared" si="1"/>
        <v>1.4292344549878128E-3</v>
      </c>
      <c r="AB8" s="14">
        <f t="shared" si="2"/>
        <v>20.54</v>
      </c>
      <c r="AC8" s="14">
        <f t="shared" si="3"/>
        <v>0</v>
      </c>
      <c r="AD8" s="14">
        <f t="shared" si="4"/>
        <v>0</v>
      </c>
      <c r="AE8" s="14">
        <v>20.54</v>
      </c>
      <c r="AF8" s="26">
        <f t="shared" si="5"/>
        <v>0</v>
      </c>
      <c r="AH8" s="44" t="s">
        <v>60</v>
      </c>
      <c r="AI8" s="162">
        <f>AC13</f>
        <v>32.58</v>
      </c>
      <c r="AJ8" s="162">
        <f>AE13</f>
        <v>6962.659999999998</v>
      </c>
      <c r="AK8" s="249">
        <f t="shared" si="6"/>
        <v>4.6792461501782377E-3</v>
      </c>
    </row>
    <row r="9" spans="1:37" x14ac:dyDescent="0.25">
      <c r="A9" s="13" t="s">
        <v>15</v>
      </c>
      <c r="B9" s="14">
        <v>98.16</v>
      </c>
      <c r="C9" s="14">
        <v>6.54</v>
      </c>
      <c r="D9" s="14"/>
      <c r="E9" s="14"/>
      <c r="F9" s="14">
        <v>0.24</v>
      </c>
      <c r="G9" s="14"/>
      <c r="H9" s="14"/>
      <c r="I9" s="14"/>
      <c r="J9" s="14"/>
      <c r="K9" s="14"/>
      <c r="L9" s="14">
        <v>0.04</v>
      </c>
      <c r="M9" s="14"/>
      <c r="N9" s="14"/>
      <c r="O9" s="14"/>
      <c r="P9" s="14"/>
      <c r="Q9" s="14"/>
      <c r="R9" s="14"/>
      <c r="S9" s="14"/>
      <c r="T9" s="14"/>
      <c r="U9" s="14"/>
      <c r="V9" s="14">
        <v>1.34</v>
      </c>
      <c r="W9" s="14">
        <v>11.32</v>
      </c>
      <c r="X9" s="14"/>
      <c r="Y9" s="328">
        <v>750.9</v>
      </c>
      <c r="Z9" s="26">
        <f t="shared" si="1"/>
        <v>5.2249861355907916E-2</v>
      </c>
      <c r="AB9" s="14">
        <f t="shared" si="2"/>
        <v>104.98</v>
      </c>
      <c r="AC9" s="14">
        <f t="shared" si="3"/>
        <v>12.66</v>
      </c>
      <c r="AD9" s="14">
        <f t="shared" si="4"/>
        <v>0</v>
      </c>
      <c r="AE9" s="14">
        <v>750.9</v>
      </c>
      <c r="AF9" s="26">
        <f t="shared" si="5"/>
        <v>1.6859768278066321E-2</v>
      </c>
      <c r="AH9" s="44" t="s">
        <v>56</v>
      </c>
      <c r="AI9" s="162">
        <f>AC25</f>
        <v>15.14</v>
      </c>
      <c r="AJ9" s="162">
        <f>AE25</f>
        <v>734.82000000000016</v>
      </c>
      <c r="AK9" s="249">
        <f t="shared" si="6"/>
        <v>2.0603685256253227E-2</v>
      </c>
    </row>
    <row r="10" spans="1:37" x14ac:dyDescent="0.25">
      <c r="A10" s="13" t="s">
        <v>16</v>
      </c>
      <c r="B10" s="14">
        <v>0.15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328">
        <v>0.15</v>
      </c>
      <c r="Z10" s="26">
        <f t="shared" si="1"/>
        <v>1.0437447334380326E-5</v>
      </c>
      <c r="AB10" s="14">
        <f t="shared" si="2"/>
        <v>0.15</v>
      </c>
      <c r="AC10" s="14">
        <f t="shared" si="3"/>
        <v>0</v>
      </c>
      <c r="AD10" s="14">
        <f t="shared" si="4"/>
        <v>0</v>
      </c>
      <c r="AE10" s="14">
        <v>0.15</v>
      </c>
      <c r="AF10" s="26">
        <f t="shared" si="5"/>
        <v>0</v>
      </c>
    </row>
    <row r="11" spans="1:37" x14ac:dyDescent="0.25">
      <c r="A11" s="13" t="s">
        <v>17</v>
      </c>
      <c r="B11" s="14">
        <v>62.610000000000014</v>
      </c>
      <c r="C11" s="14">
        <v>4.6100000000000003</v>
      </c>
      <c r="D11" s="14"/>
      <c r="E11" s="14"/>
      <c r="F11" s="14"/>
      <c r="G11" s="14">
        <v>1.54</v>
      </c>
      <c r="H11" s="14">
        <v>0.86</v>
      </c>
      <c r="I11" s="14"/>
      <c r="J11" s="14"/>
      <c r="K11" s="14"/>
      <c r="L11" s="14">
        <v>6.17</v>
      </c>
      <c r="M11" s="14"/>
      <c r="N11" s="14"/>
      <c r="O11" s="14"/>
      <c r="P11" s="14"/>
      <c r="Q11" s="14">
        <v>0.15</v>
      </c>
      <c r="R11" s="14">
        <v>0.26</v>
      </c>
      <c r="S11" s="14">
        <v>1.52</v>
      </c>
      <c r="T11" s="14">
        <v>0.1</v>
      </c>
      <c r="U11" s="14">
        <v>2.2999999999999998</v>
      </c>
      <c r="V11" s="14">
        <v>1.21</v>
      </c>
      <c r="W11" s="14">
        <v>4.8600000000000003</v>
      </c>
      <c r="X11" s="14"/>
      <c r="Y11" s="328">
        <v>86.190000000000012</v>
      </c>
      <c r="Z11" s="26">
        <f t="shared" si="1"/>
        <v>5.9973572383349369E-3</v>
      </c>
      <c r="AB11" s="14">
        <f t="shared" si="2"/>
        <v>77.720000000000027</v>
      </c>
      <c r="AC11" s="14">
        <f t="shared" si="3"/>
        <v>8.4700000000000006</v>
      </c>
      <c r="AD11" s="14">
        <f t="shared" si="4"/>
        <v>0</v>
      </c>
      <c r="AE11" s="14">
        <v>86.190000000000012</v>
      </c>
      <c r="AF11" s="26">
        <f t="shared" si="5"/>
        <v>9.8271261167188761E-2</v>
      </c>
    </row>
    <row r="12" spans="1:37" x14ac:dyDescent="0.25">
      <c r="A12" s="13" t="s">
        <v>18</v>
      </c>
      <c r="B12" s="14">
        <v>10.01</v>
      </c>
      <c r="C12" s="14">
        <v>1.08</v>
      </c>
      <c r="D12" s="14"/>
      <c r="E12" s="14"/>
      <c r="F12" s="14"/>
      <c r="G12" s="14"/>
      <c r="H12" s="14">
        <v>23.1</v>
      </c>
      <c r="I12" s="14"/>
      <c r="J12" s="14"/>
      <c r="K12" s="14"/>
      <c r="L12" s="14"/>
      <c r="M12" s="14">
        <v>0.96</v>
      </c>
      <c r="N12" s="14"/>
      <c r="O12" s="14"/>
      <c r="P12" s="14"/>
      <c r="Q12" s="14"/>
      <c r="R12" s="14">
        <v>12.11</v>
      </c>
      <c r="S12" s="14"/>
      <c r="T12" s="14"/>
      <c r="U12" s="14"/>
      <c r="V12" s="14">
        <v>0.25</v>
      </c>
      <c r="W12" s="14"/>
      <c r="X12" s="14"/>
      <c r="Y12" s="328">
        <v>47.51</v>
      </c>
      <c r="Z12" s="26">
        <f t="shared" si="1"/>
        <v>3.3058874857093954E-3</v>
      </c>
      <c r="AB12" s="14">
        <f t="shared" si="2"/>
        <v>47.26</v>
      </c>
      <c r="AC12" s="14">
        <f t="shared" si="3"/>
        <v>0.25</v>
      </c>
      <c r="AD12" s="14">
        <f t="shared" si="4"/>
        <v>0</v>
      </c>
      <c r="AE12" s="14">
        <v>47.51</v>
      </c>
      <c r="AF12" s="26">
        <f t="shared" si="5"/>
        <v>5.2620500947169017E-3</v>
      </c>
    </row>
    <row r="13" spans="1:37" x14ac:dyDescent="0.25">
      <c r="A13" s="44" t="s">
        <v>60</v>
      </c>
      <c r="B13" s="45">
        <f>SUM(B14:B16)</f>
        <v>6074.3899999999994</v>
      </c>
      <c r="C13" s="45">
        <f t="shared" ref="C13:Y13" si="7">SUM(C14:C16)</f>
        <v>60.309999999999988</v>
      </c>
      <c r="D13" s="45">
        <f t="shared" si="7"/>
        <v>5.7</v>
      </c>
      <c r="E13" s="45">
        <f t="shared" si="7"/>
        <v>8.0599999999999987</v>
      </c>
      <c r="F13" s="45">
        <f t="shared" si="7"/>
        <v>1.3</v>
      </c>
      <c r="G13" s="45">
        <f t="shared" si="7"/>
        <v>6.48</v>
      </c>
      <c r="H13" s="45">
        <f t="shared" si="7"/>
        <v>13.09</v>
      </c>
      <c r="I13" s="45">
        <f t="shared" si="7"/>
        <v>7.47</v>
      </c>
      <c r="J13" s="45">
        <f t="shared" si="7"/>
        <v>7.1499999999999995</v>
      </c>
      <c r="K13" s="45">
        <f t="shared" si="7"/>
        <v>7.98</v>
      </c>
      <c r="L13" s="45">
        <f t="shared" si="7"/>
        <v>5.3699999999999992</v>
      </c>
      <c r="M13" s="45">
        <f t="shared" si="7"/>
        <v>7.32</v>
      </c>
      <c r="N13" s="45">
        <f t="shared" si="7"/>
        <v>2.33</v>
      </c>
      <c r="O13" s="45">
        <f t="shared" si="7"/>
        <v>19.739999999999998</v>
      </c>
      <c r="P13" s="45">
        <f t="shared" si="7"/>
        <v>2.72</v>
      </c>
      <c r="Q13" s="45">
        <f t="shared" si="7"/>
        <v>7.08</v>
      </c>
      <c r="R13" s="45">
        <f t="shared" si="7"/>
        <v>7.67</v>
      </c>
      <c r="S13" s="45">
        <f t="shared" si="7"/>
        <v>3.8200000000000003</v>
      </c>
      <c r="T13" s="45">
        <f t="shared" si="7"/>
        <v>5.78</v>
      </c>
      <c r="U13" s="45">
        <f t="shared" si="7"/>
        <v>6.0600000000000005</v>
      </c>
      <c r="V13" s="45">
        <f t="shared" si="7"/>
        <v>19.11</v>
      </c>
      <c r="W13" s="45">
        <f t="shared" si="7"/>
        <v>1.63</v>
      </c>
      <c r="X13" s="45">
        <f t="shared" si="7"/>
        <v>682.09999999999991</v>
      </c>
      <c r="Y13" s="45">
        <f t="shared" si="7"/>
        <v>6962.66</v>
      </c>
      <c r="Z13" s="46">
        <f t="shared" si="1"/>
        <v>0.48448264704797683</v>
      </c>
      <c r="AB13" s="45">
        <f t="shared" si="2"/>
        <v>6247.9799999999987</v>
      </c>
      <c r="AC13" s="45">
        <f t="shared" si="3"/>
        <v>32.58</v>
      </c>
      <c r="AD13" s="45">
        <f t="shared" si="4"/>
        <v>682.09999999999991</v>
      </c>
      <c r="AE13" s="45">
        <f t="shared" ref="AE13:AE27" si="8">SUM(AB13:AD13)</f>
        <v>6962.659999999998</v>
      </c>
      <c r="AF13" s="46">
        <f t="shared" si="5"/>
        <v>4.6792461501782377E-3</v>
      </c>
    </row>
    <row r="14" spans="1:37" x14ac:dyDescent="0.25">
      <c r="A14" s="13" t="s">
        <v>22</v>
      </c>
      <c r="B14" s="14">
        <v>149.81000000000003</v>
      </c>
      <c r="C14" s="14">
        <v>2.5499999999999998</v>
      </c>
      <c r="D14" s="14"/>
      <c r="E14" s="14"/>
      <c r="F14" s="14"/>
      <c r="G14" s="14"/>
      <c r="H14" s="14">
        <v>0.33</v>
      </c>
      <c r="I14" s="14">
        <v>1.1200000000000001</v>
      </c>
      <c r="J14" s="14">
        <v>0.06</v>
      </c>
      <c r="K14" s="14">
        <v>2.0300000000000002</v>
      </c>
      <c r="L14" s="14"/>
      <c r="M14" s="14">
        <v>2.0299999999999998</v>
      </c>
      <c r="N14" s="14">
        <v>0.38</v>
      </c>
      <c r="O14" s="14">
        <v>0.04</v>
      </c>
      <c r="P14" s="14"/>
      <c r="Q14" s="14">
        <v>7.0000000000000007E-2</v>
      </c>
      <c r="R14" s="14">
        <v>0.1</v>
      </c>
      <c r="S14" s="14">
        <v>0.3</v>
      </c>
      <c r="T14" s="14"/>
      <c r="U14" s="14">
        <v>0.2</v>
      </c>
      <c r="V14" s="14"/>
      <c r="W14" s="14"/>
      <c r="X14" s="14">
        <v>13.990000000000002</v>
      </c>
      <c r="Y14" s="14">
        <v>173.01000000000005</v>
      </c>
      <c r="Z14" s="26">
        <f t="shared" si="1"/>
        <v>1.2038551755474271E-2</v>
      </c>
      <c r="AB14" s="14">
        <f t="shared" si="2"/>
        <v>158.82000000000005</v>
      </c>
      <c r="AC14" s="14">
        <f t="shared" si="3"/>
        <v>0.2</v>
      </c>
      <c r="AD14" s="14">
        <f t="shared" si="4"/>
        <v>13.990000000000002</v>
      </c>
      <c r="AE14" s="14">
        <f t="shared" si="8"/>
        <v>173.01000000000005</v>
      </c>
      <c r="AF14" s="26">
        <f t="shared" si="5"/>
        <v>1.1560025432055948E-3</v>
      </c>
    </row>
    <row r="15" spans="1:37" x14ac:dyDescent="0.25">
      <c r="A15" s="13" t="s">
        <v>23</v>
      </c>
      <c r="B15" s="14">
        <v>2383.1699999999996</v>
      </c>
      <c r="C15" s="14">
        <v>19.579999999999998</v>
      </c>
      <c r="D15" s="14">
        <v>1.21</v>
      </c>
      <c r="E15" s="14">
        <v>5.85</v>
      </c>
      <c r="F15" s="14">
        <v>0.79</v>
      </c>
      <c r="G15" s="14">
        <v>3.3600000000000003</v>
      </c>
      <c r="H15" s="14">
        <v>8.49</v>
      </c>
      <c r="I15" s="14">
        <v>3.48</v>
      </c>
      <c r="J15" s="14">
        <v>5.13</v>
      </c>
      <c r="K15" s="14">
        <v>3.89</v>
      </c>
      <c r="L15" s="14">
        <v>1.6</v>
      </c>
      <c r="M15" s="14">
        <v>1.85</v>
      </c>
      <c r="N15" s="14">
        <v>0.32</v>
      </c>
      <c r="O15" s="14">
        <v>18.43</v>
      </c>
      <c r="P15" s="14">
        <v>0.48</v>
      </c>
      <c r="Q15" s="14">
        <v>3.5700000000000003</v>
      </c>
      <c r="R15" s="14">
        <v>3.19</v>
      </c>
      <c r="S15" s="14">
        <v>1.53</v>
      </c>
      <c r="T15" s="14">
        <v>3.37</v>
      </c>
      <c r="U15" s="14">
        <v>2.73</v>
      </c>
      <c r="V15" s="14">
        <v>2.19</v>
      </c>
      <c r="W15" s="14"/>
      <c r="X15" s="14">
        <v>239.58</v>
      </c>
      <c r="Y15" s="14">
        <v>2713.7899999999995</v>
      </c>
      <c r="Z15" s="26">
        <f t="shared" si="1"/>
        <v>0.18883360134378654</v>
      </c>
      <c r="AB15" s="14">
        <f t="shared" si="2"/>
        <v>2465.9199999999996</v>
      </c>
      <c r="AC15" s="14">
        <f t="shared" si="3"/>
        <v>8.2899999999999991</v>
      </c>
      <c r="AD15" s="14">
        <f t="shared" si="4"/>
        <v>239.58</v>
      </c>
      <c r="AE15" s="14">
        <f t="shared" si="8"/>
        <v>2713.7899999999995</v>
      </c>
      <c r="AF15" s="26">
        <f t="shared" si="5"/>
        <v>3.0547684234962912E-3</v>
      </c>
    </row>
    <row r="16" spans="1:37" x14ac:dyDescent="0.25">
      <c r="A16" s="13" t="s">
        <v>24</v>
      </c>
      <c r="B16" s="14">
        <v>3541.4100000000003</v>
      </c>
      <c r="C16" s="14">
        <v>38.179999999999993</v>
      </c>
      <c r="D16" s="14">
        <v>4.49</v>
      </c>
      <c r="E16" s="14">
        <v>2.2099999999999995</v>
      </c>
      <c r="F16" s="14">
        <v>0.51</v>
      </c>
      <c r="G16" s="14">
        <v>3.1199999999999997</v>
      </c>
      <c r="H16" s="14">
        <v>4.2699999999999996</v>
      </c>
      <c r="I16" s="14">
        <v>2.87</v>
      </c>
      <c r="J16" s="14">
        <v>1.96</v>
      </c>
      <c r="K16" s="14">
        <v>2.06</v>
      </c>
      <c r="L16" s="14">
        <v>3.7699999999999996</v>
      </c>
      <c r="M16" s="14">
        <v>3.44</v>
      </c>
      <c r="N16" s="14">
        <v>1.6300000000000001</v>
      </c>
      <c r="O16" s="14">
        <v>1.27</v>
      </c>
      <c r="P16" s="14">
        <v>2.2400000000000002</v>
      </c>
      <c r="Q16" s="14">
        <v>3.4400000000000004</v>
      </c>
      <c r="R16" s="14">
        <v>4.38</v>
      </c>
      <c r="S16" s="14">
        <v>1.9900000000000002</v>
      </c>
      <c r="T16" s="14">
        <v>2.41</v>
      </c>
      <c r="U16" s="14">
        <v>3.13</v>
      </c>
      <c r="V16" s="14">
        <v>16.919999999999998</v>
      </c>
      <c r="W16" s="14">
        <v>1.63</v>
      </c>
      <c r="X16" s="14">
        <v>428.52999999999992</v>
      </c>
      <c r="Y16" s="14">
        <v>4075.8599999999997</v>
      </c>
      <c r="Z16" s="26">
        <f t="shared" si="1"/>
        <v>0.28361049394871596</v>
      </c>
      <c r="AB16" s="14">
        <f t="shared" si="2"/>
        <v>3623.24</v>
      </c>
      <c r="AC16" s="14">
        <f t="shared" si="3"/>
        <v>24.089999999999996</v>
      </c>
      <c r="AD16" s="14">
        <f t="shared" si="4"/>
        <v>428.52999999999992</v>
      </c>
      <c r="AE16" s="14">
        <f t="shared" si="8"/>
        <v>4075.8599999999997</v>
      </c>
      <c r="AF16" s="26">
        <f t="shared" si="5"/>
        <v>5.9104090915782182E-3</v>
      </c>
    </row>
    <row r="17" spans="1:32" x14ac:dyDescent="0.25">
      <c r="A17" s="44" t="s">
        <v>51</v>
      </c>
      <c r="B17" s="45">
        <f t="shared" ref="B17:Y17" si="9">SUM(B18:B20)</f>
        <v>3307.8500000000004</v>
      </c>
      <c r="C17" s="45">
        <f t="shared" si="9"/>
        <v>39.339999999999996</v>
      </c>
      <c r="D17" s="45">
        <f t="shared" si="9"/>
        <v>9.4499999999999993</v>
      </c>
      <c r="E17" s="45">
        <f t="shared" si="9"/>
        <v>7.63</v>
      </c>
      <c r="F17" s="45">
        <f t="shared" si="9"/>
        <v>7.3100000000000005</v>
      </c>
      <c r="G17" s="45">
        <f t="shared" si="9"/>
        <v>8</v>
      </c>
      <c r="H17" s="45">
        <f t="shared" si="9"/>
        <v>18.39</v>
      </c>
      <c r="I17" s="45">
        <f t="shared" si="9"/>
        <v>20.149999999999999</v>
      </c>
      <c r="J17" s="45">
        <f t="shared" si="9"/>
        <v>19.2</v>
      </c>
      <c r="K17" s="45">
        <f t="shared" si="9"/>
        <v>15.31</v>
      </c>
      <c r="L17" s="45">
        <f t="shared" si="9"/>
        <v>22.78</v>
      </c>
      <c r="M17" s="45">
        <f t="shared" si="9"/>
        <v>27.880000000000003</v>
      </c>
      <c r="N17" s="45">
        <f t="shared" si="9"/>
        <v>14.85</v>
      </c>
      <c r="O17" s="45">
        <f t="shared" si="9"/>
        <v>10.27</v>
      </c>
      <c r="P17" s="45">
        <f t="shared" si="9"/>
        <v>8.98</v>
      </c>
      <c r="Q17" s="45">
        <f t="shared" si="9"/>
        <v>7.39</v>
      </c>
      <c r="R17" s="45">
        <f t="shared" si="9"/>
        <v>13.84</v>
      </c>
      <c r="S17" s="45">
        <f t="shared" si="9"/>
        <v>7.43</v>
      </c>
      <c r="T17" s="45">
        <f t="shared" si="9"/>
        <v>3.11</v>
      </c>
      <c r="U17" s="45">
        <f t="shared" si="9"/>
        <v>10.77</v>
      </c>
      <c r="V17" s="45">
        <f t="shared" si="9"/>
        <v>18.119999999999997</v>
      </c>
      <c r="W17" s="45">
        <f t="shared" si="9"/>
        <v>18.07</v>
      </c>
      <c r="X17" s="45">
        <f t="shared" si="9"/>
        <v>0</v>
      </c>
      <c r="Y17" s="45">
        <f t="shared" si="9"/>
        <v>3616.1199999999994</v>
      </c>
      <c r="Z17" s="46">
        <f t="shared" si="1"/>
        <v>0.25162041369866256</v>
      </c>
      <c r="AB17" s="45">
        <f t="shared" si="2"/>
        <v>3566.05</v>
      </c>
      <c r="AC17" s="45">
        <f t="shared" si="3"/>
        <v>50.069999999999993</v>
      </c>
      <c r="AD17" s="45">
        <f t="shared" si="4"/>
        <v>0</v>
      </c>
      <c r="AE17" s="45">
        <f t="shared" si="8"/>
        <v>3616.1200000000003</v>
      </c>
      <c r="AF17" s="46">
        <f t="shared" si="5"/>
        <v>1.384633253321239E-2</v>
      </c>
    </row>
    <row r="18" spans="1:32" x14ac:dyDescent="0.25">
      <c r="A18" s="13" t="s">
        <v>25</v>
      </c>
      <c r="B18" s="109">
        <v>122.66000000000001</v>
      </c>
      <c r="C18" s="109">
        <v>0.26</v>
      </c>
      <c r="D18" s="109"/>
      <c r="E18" s="109"/>
      <c r="F18" s="109"/>
      <c r="G18" s="109">
        <v>0.28000000000000003</v>
      </c>
      <c r="H18" s="109"/>
      <c r="I18" s="109"/>
      <c r="J18" s="109"/>
      <c r="K18" s="109"/>
      <c r="L18" s="109">
        <v>0.1</v>
      </c>
      <c r="M18" s="109">
        <v>7.0000000000000007E-2</v>
      </c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>
        <v>123.37</v>
      </c>
      <c r="Z18" s="26">
        <f t="shared" si="1"/>
        <v>8.5844525176166728E-3</v>
      </c>
      <c r="AB18" s="109">
        <f t="shared" si="2"/>
        <v>123.37</v>
      </c>
      <c r="AC18" s="109">
        <f t="shared" si="3"/>
        <v>0</v>
      </c>
      <c r="AD18" s="109">
        <f t="shared" si="4"/>
        <v>0</v>
      </c>
      <c r="AE18" s="109">
        <f t="shared" si="8"/>
        <v>123.37</v>
      </c>
      <c r="AF18" s="26">
        <f t="shared" si="5"/>
        <v>0</v>
      </c>
    </row>
    <row r="19" spans="1:32" x14ac:dyDescent="0.25">
      <c r="A19" s="13" t="s">
        <v>26</v>
      </c>
      <c r="B19" s="109">
        <v>1.73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>
        <v>1.73</v>
      </c>
      <c r="Z19" s="26">
        <f t="shared" si="1"/>
        <v>1.2037855925651976E-4</v>
      </c>
      <c r="AB19" s="109">
        <f t="shared" si="2"/>
        <v>1.73</v>
      </c>
      <c r="AC19" s="109">
        <f t="shared" si="3"/>
        <v>0</v>
      </c>
      <c r="AD19" s="109">
        <f t="shared" si="4"/>
        <v>0</v>
      </c>
      <c r="AE19" s="109">
        <f t="shared" si="8"/>
        <v>1.73</v>
      </c>
      <c r="AF19" s="26">
        <f t="shared" si="5"/>
        <v>0</v>
      </c>
    </row>
    <row r="20" spans="1:32" x14ac:dyDescent="0.25">
      <c r="A20" s="13" t="s">
        <v>28</v>
      </c>
      <c r="B20" s="109">
        <v>3183.4600000000005</v>
      </c>
      <c r="C20" s="109">
        <v>39.08</v>
      </c>
      <c r="D20" s="109">
        <v>9.4499999999999993</v>
      </c>
      <c r="E20" s="109">
        <v>7.63</v>
      </c>
      <c r="F20" s="109">
        <v>7.3100000000000005</v>
      </c>
      <c r="G20" s="109">
        <v>7.72</v>
      </c>
      <c r="H20" s="109">
        <v>18.39</v>
      </c>
      <c r="I20" s="109">
        <v>20.149999999999999</v>
      </c>
      <c r="J20" s="109">
        <v>19.2</v>
      </c>
      <c r="K20" s="109">
        <v>15.31</v>
      </c>
      <c r="L20" s="109">
        <v>22.68</v>
      </c>
      <c r="M20" s="109">
        <v>27.810000000000002</v>
      </c>
      <c r="N20" s="109">
        <v>14.85</v>
      </c>
      <c r="O20" s="109">
        <v>10.27</v>
      </c>
      <c r="P20" s="109">
        <v>8.98</v>
      </c>
      <c r="Q20" s="109">
        <v>7.39</v>
      </c>
      <c r="R20" s="109">
        <v>13.84</v>
      </c>
      <c r="S20" s="109">
        <v>7.43</v>
      </c>
      <c r="T20" s="109">
        <v>3.11</v>
      </c>
      <c r="U20" s="109">
        <v>10.77</v>
      </c>
      <c r="V20" s="109">
        <v>18.119999999999997</v>
      </c>
      <c r="W20" s="109">
        <v>18.07</v>
      </c>
      <c r="X20" s="109"/>
      <c r="Y20" s="109">
        <v>3491.0199999999995</v>
      </c>
      <c r="Z20" s="26">
        <f t="shared" si="1"/>
        <v>0.24291558262178936</v>
      </c>
      <c r="AB20" s="109">
        <f t="shared" si="2"/>
        <v>3440.9499999999994</v>
      </c>
      <c r="AC20" s="109">
        <f t="shared" si="3"/>
        <v>50.069999999999993</v>
      </c>
      <c r="AD20" s="109">
        <f t="shared" si="4"/>
        <v>0</v>
      </c>
      <c r="AE20" s="109">
        <f t="shared" si="8"/>
        <v>3491.0199999999995</v>
      </c>
      <c r="AF20" s="26">
        <f t="shared" si="5"/>
        <v>1.4342513076407468E-2</v>
      </c>
    </row>
    <row r="21" spans="1:32" x14ac:dyDescent="0.25">
      <c r="A21" s="44" t="s">
        <v>54</v>
      </c>
      <c r="B21" s="45">
        <f t="shared" ref="B21:Y21" si="10">SUM(B22:B22)</f>
        <v>3.13</v>
      </c>
      <c r="C21" s="45">
        <f t="shared" si="10"/>
        <v>0</v>
      </c>
      <c r="D21" s="45">
        <f t="shared" si="10"/>
        <v>0</v>
      </c>
      <c r="E21" s="45">
        <f t="shared" si="10"/>
        <v>0</v>
      </c>
      <c r="F21" s="45">
        <f t="shared" si="10"/>
        <v>0</v>
      </c>
      <c r="G21" s="45">
        <f t="shared" si="10"/>
        <v>0</v>
      </c>
      <c r="H21" s="45">
        <f t="shared" si="10"/>
        <v>0</v>
      </c>
      <c r="I21" s="45">
        <f t="shared" si="10"/>
        <v>0</v>
      </c>
      <c r="J21" s="45">
        <f t="shared" si="10"/>
        <v>0</v>
      </c>
      <c r="K21" s="45">
        <f t="shared" si="10"/>
        <v>0</v>
      </c>
      <c r="L21" s="45">
        <f t="shared" si="10"/>
        <v>0</v>
      </c>
      <c r="M21" s="45">
        <f t="shared" si="10"/>
        <v>0.34</v>
      </c>
      <c r="N21" s="45">
        <f t="shared" si="10"/>
        <v>0</v>
      </c>
      <c r="O21" s="45">
        <f t="shared" si="10"/>
        <v>0</v>
      </c>
      <c r="P21" s="45">
        <f t="shared" si="10"/>
        <v>0</v>
      </c>
      <c r="Q21" s="45">
        <f t="shared" si="10"/>
        <v>0</v>
      </c>
      <c r="R21" s="45">
        <f t="shared" si="10"/>
        <v>0</v>
      </c>
      <c r="S21" s="45">
        <f t="shared" si="10"/>
        <v>0</v>
      </c>
      <c r="T21" s="45">
        <f t="shared" si="10"/>
        <v>0</v>
      </c>
      <c r="U21" s="45">
        <f t="shared" si="10"/>
        <v>0</v>
      </c>
      <c r="V21" s="45">
        <f t="shared" si="10"/>
        <v>0</v>
      </c>
      <c r="W21" s="45">
        <f t="shared" si="10"/>
        <v>0</v>
      </c>
      <c r="X21" s="45">
        <f t="shared" si="10"/>
        <v>0</v>
      </c>
      <c r="Y21" s="45">
        <f t="shared" si="10"/>
        <v>3.4699999999999998</v>
      </c>
      <c r="Z21" s="46">
        <f t="shared" si="1"/>
        <v>2.4145294833533153E-4</v>
      </c>
      <c r="AB21" s="45">
        <f t="shared" si="2"/>
        <v>3.4699999999999998</v>
      </c>
      <c r="AC21" s="45">
        <f t="shared" si="3"/>
        <v>0</v>
      </c>
      <c r="AD21" s="45">
        <f t="shared" si="4"/>
        <v>0</v>
      </c>
      <c r="AE21" s="45">
        <f t="shared" si="8"/>
        <v>3.4699999999999998</v>
      </c>
      <c r="AF21" s="46">
        <f t="shared" si="5"/>
        <v>0</v>
      </c>
    </row>
    <row r="22" spans="1:32" x14ac:dyDescent="0.25">
      <c r="A22" s="13" t="s">
        <v>43</v>
      </c>
      <c r="B22" s="109">
        <v>3.13</v>
      </c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>
        <v>0.34</v>
      </c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>
        <v>3.4699999999999998</v>
      </c>
      <c r="Z22" s="26">
        <f t="shared" si="1"/>
        <v>2.4145294833533153E-4</v>
      </c>
      <c r="AB22" s="109">
        <f t="shared" si="2"/>
        <v>3.4699999999999998</v>
      </c>
      <c r="AC22" s="109">
        <f t="shared" si="3"/>
        <v>0</v>
      </c>
      <c r="AD22" s="109">
        <f t="shared" si="4"/>
        <v>0</v>
      </c>
      <c r="AE22" s="109">
        <f t="shared" si="8"/>
        <v>3.4699999999999998</v>
      </c>
      <c r="AF22" s="26">
        <f t="shared" si="5"/>
        <v>0</v>
      </c>
    </row>
    <row r="23" spans="1:32" x14ac:dyDescent="0.25">
      <c r="A23" s="44" t="s">
        <v>75</v>
      </c>
      <c r="B23" s="45">
        <f>B24</f>
        <v>1562.8999999999994</v>
      </c>
      <c r="C23" s="45">
        <f t="shared" ref="C23:Y23" si="11">C24</f>
        <v>70.88000000000001</v>
      </c>
      <c r="D23" s="45">
        <f t="shared" si="11"/>
        <v>9.77</v>
      </c>
      <c r="E23" s="45">
        <f t="shared" si="11"/>
        <v>13.77</v>
      </c>
      <c r="F23" s="45">
        <f t="shared" si="11"/>
        <v>38.840000000000003</v>
      </c>
      <c r="G23" s="45">
        <f t="shared" si="11"/>
        <v>83.78</v>
      </c>
      <c r="H23" s="45">
        <f t="shared" si="11"/>
        <v>24.18</v>
      </c>
      <c r="I23" s="45">
        <f t="shared" si="11"/>
        <v>42.71</v>
      </c>
      <c r="J23" s="45">
        <f t="shared" si="11"/>
        <v>30.57</v>
      </c>
      <c r="K23" s="45">
        <f t="shared" si="11"/>
        <v>7.91</v>
      </c>
      <c r="L23" s="45">
        <f t="shared" si="11"/>
        <v>27.95</v>
      </c>
      <c r="M23" s="45">
        <f t="shared" si="11"/>
        <v>12.669999999999998</v>
      </c>
      <c r="N23" s="45">
        <f t="shared" si="11"/>
        <v>2.48</v>
      </c>
      <c r="O23" s="45">
        <f t="shared" si="11"/>
        <v>4.33</v>
      </c>
      <c r="P23" s="45">
        <f t="shared" si="11"/>
        <v>0.18</v>
      </c>
      <c r="Q23" s="45">
        <f t="shared" si="11"/>
        <v>14.88</v>
      </c>
      <c r="R23" s="45">
        <f t="shared" si="11"/>
        <v>12.92</v>
      </c>
      <c r="S23" s="45">
        <f t="shared" si="11"/>
        <v>2.71</v>
      </c>
      <c r="T23" s="45">
        <f t="shared" si="11"/>
        <v>4.93</v>
      </c>
      <c r="U23" s="45">
        <f t="shared" si="11"/>
        <v>36.54</v>
      </c>
      <c r="V23" s="45">
        <f t="shared" si="11"/>
        <v>19.170000000000002</v>
      </c>
      <c r="W23" s="45">
        <f t="shared" si="11"/>
        <v>6.79</v>
      </c>
      <c r="X23" s="45">
        <f t="shared" si="11"/>
        <v>7.35</v>
      </c>
      <c r="Y23" s="45">
        <f t="shared" si="11"/>
        <v>2038.2099999999998</v>
      </c>
      <c r="Z23" s="46">
        <f t="shared" si="1"/>
        <v>0.14182473020938216</v>
      </c>
      <c r="AB23" s="45">
        <f t="shared" si="2"/>
        <v>1963.4299999999998</v>
      </c>
      <c r="AC23" s="45">
        <f t="shared" si="3"/>
        <v>67.430000000000007</v>
      </c>
      <c r="AD23" s="45">
        <f t="shared" si="4"/>
        <v>7.35</v>
      </c>
      <c r="AE23" s="45">
        <f t="shared" si="8"/>
        <v>2038.2099999999998</v>
      </c>
      <c r="AF23" s="46">
        <f t="shared" si="5"/>
        <v>3.3082950235746075E-2</v>
      </c>
    </row>
    <row r="24" spans="1:32" x14ac:dyDescent="0.25">
      <c r="A24" s="13" t="s">
        <v>76</v>
      </c>
      <c r="B24" s="109">
        <v>1562.8999999999994</v>
      </c>
      <c r="C24" s="109">
        <v>70.88000000000001</v>
      </c>
      <c r="D24" s="109">
        <v>9.77</v>
      </c>
      <c r="E24" s="109">
        <v>13.77</v>
      </c>
      <c r="F24" s="109">
        <v>38.840000000000003</v>
      </c>
      <c r="G24" s="109">
        <v>83.78</v>
      </c>
      <c r="H24" s="109">
        <v>24.18</v>
      </c>
      <c r="I24" s="109">
        <v>42.71</v>
      </c>
      <c r="J24" s="109">
        <v>30.57</v>
      </c>
      <c r="K24" s="109">
        <v>7.91</v>
      </c>
      <c r="L24" s="109">
        <v>27.95</v>
      </c>
      <c r="M24" s="109">
        <v>12.669999999999998</v>
      </c>
      <c r="N24" s="109">
        <v>2.48</v>
      </c>
      <c r="O24" s="109">
        <v>4.33</v>
      </c>
      <c r="P24" s="109">
        <v>0.18</v>
      </c>
      <c r="Q24" s="109">
        <v>14.88</v>
      </c>
      <c r="R24" s="109">
        <v>12.92</v>
      </c>
      <c r="S24" s="109">
        <v>2.71</v>
      </c>
      <c r="T24" s="109">
        <v>4.93</v>
      </c>
      <c r="U24" s="109">
        <v>36.54</v>
      </c>
      <c r="V24" s="109">
        <v>19.170000000000002</v>
      </c>
      <c r="W24" s="109">
        <v>6.79</v>
      </c>
      <c r="X24" s="109">
        <v>7.35</v>
      </c>
      <c r="Y24" s="109">
        <v>2038.2099999999998</v>
      </c>
      <c r="Z24" s="155">
        <f t="shared" si="1"/>
        <v>0.14182473020938216</v>
      </c>
      <c r="AB24" s="109">
        <f t="shared" si="2"/>
        <v>1963.4299999999998</v>
      </c>
      <c r="AC24" s="109">
        <f t="shared" si="3"/>
        <v>67.430000000000007</v>
      </c>
      <c r="AD24" s="109">
        <f t="shared" si="4"/>
        <v>7.35</v>
      </c>
      <c r="AE24" s="109">
        <f t="shared" si="8"/>
        <v>2038.2099999999998</v>
      </c>
      <c r="AF24" s="155">
        <f t="shared" si="5"/>
        <v>3.3082950235746075E-2</v>
      </c>
    </row>
    <row r="25" spans="1:32" x14ac:dyDescent="0.25">
      <c r="A25" s="44" t="s">
        <v>56</v>
      </c>
      <c r="B25" s="45">
        <f>B26</f>
        <v>589.26</v>
      </c>
      <c r="C25" s="45">
        <f t="shared" ref="C25:Y25" si="12">C26</f>
        <v>17.41</v>
      </c>
      <c r="D25" s="45">
        <f t="shared" si="12"/>
        <v>3.45</v>
      </c>
      <c r="E25" s="45">
        <f t="shared" si="12"/>
        <v>7.0000000000000007E-2</v>
      </c>
      <c r="F25" s="45">
        <f t="shared" si="12"/>
        <v>2.0700000000000003</v>
      </c>
      <c r="G25" s="45">
        <f t="shared" si="12"/>
        <v>1.46</v>
      </c>
      <c r="H25" s="45">
        <f t="shared" si="12"/>
        <v>1.71</v>
      </c>
      <c r="I25" s="45">
        <f t="shared" si="12"/>
        <v>0</v>
      </c>
      <c r="J25" s="45">
        <f t="shared" si="12"/>
        <v>0.97</v>
      </c>
      <c r="K25" s="45">
        <f t="shared" si="12"/>
        <v>2.19</v>
      </c>
      <c r="L25" s="45">
        <f t="shared" si="12"/>
        <v>2.9</v>
      </c>
      <c r="M25" s="45">
        <f t="shared" si="12"/>
        <v>1</v>
      </c>
      <c r="N25" s="45">
        <f t="shared" si="12"/>
        <v>2.67</v>
      </c>
      <c r="O25" s="45">
        <f t="shared" si="12"/>
        <v>6.03</v>
      </c>
      <c r="P25" s="45">
        <f t="shared" si="12"/>
        <v>0.28999999999999998</v>
      </c>
      <c r="Q25" s="45">
        <f t="shared" si="12"/>
        <v>18.59</v>
      </c>
      <c r="R25" s="45">
        <f t="shared" si="12"/>
        <v>32.26</v>
      </c>
      <c r="S25" s="45">
        <f t="shared" si="12"/>
        <v>27.5</v>
      </c>
      <c r="T25" s="45">
        <f t="shared" si="12"/>
        <v>1.37</v>
      </c>
      <c r="U25" s="45">
        <f t="shared" si="12"/>
        <v>13.77</v>
      </c>
      <c r="V25" s="45">
        <f t="shared" si="12"/>
        <v>0</v>
      </c>
      <c r="W25" s="45">
        <f t="shared" si="12"/>
        <v>0</v>
      </c>
      <c r="X25" s="45">
        <f t="shared" si="12"/>
        <v>9.85</v>
      </c>
      <c r="Y25" s="45">
        <f t="shared" si="12"/>
        <v>734.82000000000016</v>
      </c>
      <c r="Z25" s="46">
        <f t="shared" si="1"/>
        <v>5.1130967001662357E-2</v>
      </c>
      <c r="AB25" s="45">
        <f t="shared" si="2"/>
        <v>709.83000000000015</v>
      </c>
      <c r="AC25" s="45">
        <f t="shared" si="3"/>
        <v>15.14</v>
      </c>
      <c r="AD25" s="45">
        <f t="shared" si="4"/>
        <v>9.85</v>
      </c>
      <c r="AE25" s="45">
        <f t="shared" si="8"/>
        <v>734.82000000000016</v>
      </c>
      <c r="AF25" s="46">
        <f t="shared" si="5"/>
        <v>2.0603685256253227E-2</v>
      </c>
    </row>
    <row r="26" spans="1:32" x14ac:dyDescent="0.25">
      <c r="A26" s="13" t="s">
        <v>46</v>
      </c>
      <c r="B26" s="109">
        <v>589.26</v>
      </c>
      <c r="C26" s="109">
        <v>17.41</v>
      </c>
      <c r="D26" s="109">
        <v>3.45</v>
      </c>
      <c r="E26" s="109">
        <v>7.0000000000000007E-2</v>
      </c>
      <c r="F26" s="109">
        <v>2.0700000000000003</v>
      </c>
      <c r="G26" s="109">
        <v>1.46</v>
      </c>
      <c r="H26" s="109">
        <v>1.71</v>
      </c>
      <c r="I26" s="109"/>
      <c r="J26" s="109">
        <v>0.97</v>
      </c>
      <c r="K26" s="109">
        <v>2.19</v>
      </c>
      <c r="L26" s="109">
        <v>2.9</v>
      </c>
      <c r="M26" s="109">
        <v>1</v>
      </c>
      <c r="N26" s="109">
        <v>2.67</v>
      </c>
      <c r="O26" s="109">
        <v>6.03</v>
      </c>
      <c r="P26" s="109">
        <v>0.28999999999999998</v>
      </c>
      <c r="Q26" s="109">
        <v>18.59</v>
      </c>
      <c r="R26" s="109">
        <v>32.26</v>
      </c>
      <c r="S26" s="109">
        <v>27.5</v>
      </c>
      <c r="T26" s="109">
        <v>1.37</v>
      </c>
      <c r="U26" s="109">
        <v>13.77</v>
      </c>
      <c r="V26" s="109"/>
      <c r="W26" s="109"/>
      <c r="X26" s="109">
        <v>9.85</v>
      </c>
      <c r="Y26" s="109">
        <v>734.82000000000016</v>
      </c>
      <c r="Z26" s="155">
        <f t="shared" si="1"/>
        <v>5.1130967001662357E-2</v>
      </c>
      <c r="AB26" s="109">
        <f t="shared" si="2"/>
        <v>709.83000000000015</v>
      </c>
      <c r="AC26" s="109">
        <f t="shared" si="3"/>
        <v>15.14</v>
      </c>
      <c r="AD26" s="109">
        <f t="shared" si="4"/>
        <v>9.85</v>
      </c>
      <c r="AE26" s="109">
        <f t="shared" si="8"/>
        <v>734.82000000000016</v>
      </c>
      <c r="AF26" s="155">
        <f t="shared" si="5"/>
        <v>2.0603685256253227E-2</v>
      </c>
    </row>
    <row r="27" spans="1:32" x14ac:dyDescent="0.25">
      <c r="A27" s="47" t="s">
        <v>59</v>
      </c>
      <c r="B27" s="48">
        <f>SUM(B5+B13+B17+B21+B23+B25)</f>
        <v>11734.869999999999</v>
      </c>
      <c r="C27" s="48">
        <f t="shared" ref="C27:X27" si="13">SUM(C5+C13+C17+C21+C23+C25)</f>
        <v>219.66</v>
      </c>
      <c r="D27" s="48">
        <f t="shared" si="13"/>
        <v>28.369999999999997</v>
      </c>
      <c r="E27" s="48">
        <f t="shared" si="13"/>
        <v>29.56</v>
      </c>
      <c r="F27" s="48">
        <f t="shared" si="13"/>
        <v>49.800000000000004</v>
      </c>
      <c r="G27" s="48">
        <f t="shared" si="13"/>
        <v>131.01000000000002</v>
      </c>
      <c r="H27" s="48">
        <f t="shared" si="13"/>
        <v>81.429999999999993</v>
      </c>
      <c r="I27" s="48">
        <f t="shared" si="13"/>
        <v>70.33</v>
      </c>
      <c r="J27" s="48">
        <f t="shared" si="13"/>
        <v>58.099999999999994</v>
      </c>
      <c r="K27" s="48">
        <f t="shared" si="13"/>
        <v>33.39</v>
      </c>
      <c r="L27" s="48">
        <f t="shared" si="13"/>
        <v>65.59</v>
      </c>
      <c r="M27" s="48">
        <f t="shared" si="13"/>
        <v>50.260000000000005</v>
      </c>
      <c r="N27" s="48">
        <f t="shared" si="13"/>
        <v>22.33</v>
      </c>
      <c r="O27" s="48">
        <f t="shared" si="13"/>
        <v>40.369999999999997</v>
      </c>
      <c r="P27" s="48">
        <f t="shared" si="13"/>
        <v>12.17</v>
      </c>
      <c r="Q27" s="48">
        <f t="shared" si="13"/>
        <v>48.09</v>
      </c>
      <c r="R27" s="48">
        <f t="shared" si="13"/>
        <v>79.66</v>
      </c>
      <c r="S27" s="48">
        <f t="shared" si="13"/>
        <v>43.79</v>
      </c>
      <c r="T27" s="48">
        <f t="shared" si="13"/>
        <v>67.95</v>
      </c>
      <c r="U27" s="48">
        <f t="shared" si="13"/>
        <v>69.44</v>
      </c>
      <c r="V27" s="48">
        <f t="shared" si="13"/>
        <v>59.2</v>
      </c>
      <c r="W27" s="48">
        <f t="shared" si="13"/>
        <v>42.669999999999995</v>
      </c>
      <c r="X27" s="48">
        <f t="shared" si="13"/>
        <v>699.41</v>
      </c>
      <c r="Y27" s="48">
        <f>SUM(Y5+Y13+Y17+Y21+Y23+Y25)</f>
        <v>14371.329999999998</v>
      </c>
      <c r="Z27" s="55">
        <f t="shared" si="1"/>
        <v>1</v>
      </c>
      <c r="AB27" s="48">
        <f t="shared" si="2"/>
        <v>12798.78</v>
      </c>
      <c r="AC27" s="48">
        <f t="shared" si="3"/>
        <v>239.25999999999996</v>
      </c>
      <c r="AD27" s="48">
        <f t="shared" si="4"/>
        <v>699.41</v>
      </c>
      <c r="AE27" s="48">
        <f t="shared" si="8"/>
        <v>13737.45</v>
      </c>
      <c r="AF27" s="55">
        <f t="shared" si="5"/>
        <v>1.7416623900359963E-2</v>
      </c>
    </row>
    <row r="28" spans="1:32" x14ac:dyDescent="0.25">
      <c r="A28" t="s">
        <v>289</v>
      </c>
      <c r="C28" s="162">
        <f>B27+C27</f>
        <v>11954.529999999999</v>
      </c>
      <c r="D28" s="162">
        <f>C28+D27</f>
        <v>11982.9</v>
      </c>
      <c r="E28" s="162">
        <f t="shared" ref="E28:W28" si="14">D28+E27</f>
        <v>12012.46</v>
      </c>
      <c r="F28" s="162">
        <f t="shared" si="14"/>
        <v>12062.259999999998</v>
      </c>
      <c r="G28" s="162">
        <f t="shared" si="14"/>
        <v>12193.269999999999</v>
      </c>
      <c r="H28" s="162">
        <f t="shared" si="14"/>
        <v>12274.699999999999</v>
      </c>
      <c r="I28" s="162">
        <f t="shared" si="14"/>
        <v>12345.029999999999</v>
      </c>
      <c r="J28" s="162">
        <f t="shared" si="14"/>
        <v>12403.13</v>
      </c>
      <c r="K28" s="162">
        <f t="shared" si="14"/>
        <v>12436.519999999999</v>
      </c>
      <c r="L28" s="162">
        <f t="shared" si="14"/>
        <v>12502.109999999999</v>
      </c>
      <c r="M28" s="162">
        <f t="shared" si="14"/>
        <v>12552.369999999999</v>
      </c>
      <c r="N28" s="162">
        <f t="shared" si="14"/>
        <v>12574.699999999999</v>
      </c>
      <c r="O28" s="162">
        <f t="shared" si="14"/>
        <v>12615.07</v>
      </c>
      <c r="P28" s="162">
        <f t="shared" si="14"/>
        <v>12627.24</v>
      </c>
      <c r="Q28" s="162">
        <f t="shared" si="14"/>
        <v>12675.33</v>
      </c>
      <c r="R28" s="162">
        <f t="shared" si="14"/>
        <v>12754.99</v>
      </c>
      <c r="S28" s="162">
        <f t="shared" si="14"/>
        <v>12798.78</v>
      </c>
      <c r="T28" s="162">
        <f t="shared" si="14"/>
        <v>12866.730000000001</v>
      </c>
      <c r="U28" s="162">
        <f t="shared" si="14"/>
        <v>12936.170000000002</v>
      </c>
      <c r="V28" s="162">
        <f t="shared" si="14"/>
        <v>12995.370000000003</v>
      </c>
      <c r="W28" s="162">
        <f t="shared" si="14"/>
        <v>13038.040000000003</v>
      </c>
    </row>
    <row r="29" spans="1:32" x14ac:dyDescent="0.25">
      <c r="A29" t="s">
        <v>290</v>
      </c>
      <c r="D29" s="165">
        <f>D28/C28-1</f>
        <v>2.3731589614983672E-3</v>
      </c>
      <c r="E29" s="165">
        <f t="shared" ref="E29:W29" si="15">E28/D28-1</f>
        <v>2.4668485925776196E-3</v>
      </c>
      <c r="F29" s="165">
        <f t="shared" si="15"/>
        <v>4.1456953862906154E-3</v>
      </c>
      <c r="G29" s="165">
        <f t="shared" si="15"/>
        <v>1.0861148739954141E-2</v>
      </c>
      <c r="H29" s="165">
        <f t="shared" si="15"/>
        <v>6.6782741627142705E-3</v>
      </c>
      <c r="I29" s="165">
        <f t="shared" si="15"/>
        <v>5.7296716009351822E-3</v>
      </c>
      <c r="J29" s="165">
        <f t="shared" si="15"/>
        <v>4.7063474126836091E-3</v>
      </c>
      <c r="K29" s="165">
        <f t="shared" si="15"/>
        <v>2.6920624068278443E-3</v>
      </c>
      <c r="L29" s="165">
        <f t="shared" si="15"/>
        <v>5.2739833972847983E-3</v>
      </c>
      <c r="M29" s="165">
        <f t="shared" si="15"/>
        <v>4.0201214035071597E-3</v>
      </c>
      <c r="N29" s="165">
        <f t="shared" si="15"/>
        <v>1.778946923967295E-3</v>
      </c>
      <c r="O29" s="165">
        <f t="shared" si="15"/>
        <v>3.2104145625742042E-3</v>
      </c>
      <c r="P29" s="165">
        <f t="shared" si="15"/>
        <v>9.6471918110641042E-4</v>
      </c>
      <c r="Q29" s="165">
        <f t="shared" si="15"/>
        <v>3.8084331968031293E-3</v>
      </c>
      <c r="R29" s="165">
        <f t="shared" si="15"/>
        <v>6.2846489992764987E-3</v>
      </c>
      <c r="S29" s="165">
        <f t="shared" si="15"/>
        <v>3.4331661569315663E-3</v>
      </c>
      <c r="T29" s="165">
        <f t="shared" si="15"/>
        <v>5.3090997735723011E-3</v>
      </c>
      <c r="U29" s="165">
        <f t="shared" si="15"/>
        <v>5.3968646268320875E-3</v>
      </c>
      <c r="V29" s="165">
        <f t="shared" si="15"/>
        <v>4.5763158647420532E-3</v>
      </c>
      <c r="W29" s="165">
        <f t="shared" si="15"/>
        <v>3.2834771153111841E-3</v>
      </c>
    </row>
    <row r="31" spans="1:32" ht="15.75" x14ac:dyDescent="0.25">
      <c r="A31" s="40" t="s">
        <v>94</v>
      </c>
      <c r="B31" s="41" t="s">
        <v>88</v>
      </c>
      <c r="C31" s="41">
        <v>2000</v>
      </c>
      <c r="D31" s="41">
        <v>2001</v>
      </c>
      <c r="E31" s="41">
        <v>2002</v>
      </c>
      <c r="F31" s="41">
        <v>2003</v>
      </c>
      <c r="G31" s="41">
        <v>2004</v>
      </c>
      <c r="H31" s="41">
        <v>2005</v>
      </c>
      <c r="I31" s="41">
        <v>2006</v>
      </c>
      <c r="J31" s="41">
        <v>2007</v>
      </c>
      <c r="K31" s="41">
        <v>2008</v>
      </c>
      <c r="L31" s="41">
        <v>2009</v>
      </c>
      <c r="M31" s="41">
        <v>2010</v>
      </c>
      <c r="N31" s="41">
        <v>2011</v>
      </c>
      <c r="O31" s="41">
        <v>2012</v>
      </c>
      <c r="P31" s="41">
        <v>2013</v>
      </c>
      <c r="Q31" s="41">
        <v>2014</v>
      </c>
      <c r="R31" s="41">
        <v>2015</v>
      </c>
      <c r="S31" s="41">
        <v>2016</v>
      </c>
      <c r="T31" s="41">
        <v>2017</v>
      </c>
      <c r="U31" s="41">
        <v>2018</v>
      </c>
      <c r="V31" s="41">
        <v>2019</v>
      </c>
      <c r="W31" s="41">
        <v>2020</v>
      </c>
      <c r="X31" s="42" t="s">
        <v>89</v>
      </c>
    </row>
    <row r="32" spans="1:32" x14ac:dyDescent="0.25">
      <c r="A32" s="43" t="s">
        <v>49</v>
      </c>
      <c r="B32" s="26">
        <f t="shared" ref="B32:W32" si="16">B5/$Y$5</f>
        <v>0.1942227252595837</v>
      </c>
      <c r="C32" s="26">
        <f t="shared" si="16"/>
        <v>3.1218936075980513E-2</v>
      </c>
      <c r="D32" s="26">
        <f t="shared" si="16"/>
        <v>0</v>
      </c>
      <c r="E32" s="26">
        <f t="shared" si="16"/>
        <v>2.9526105998720535E-5</v>
      </c>
      <c r="F32" s="26">
        <f t="shared" si="16"/>
        <v>2.7557698932139166E-4</v>
      </c>
      <c r="G32" s="26">
        <f t="shared" si="16"/>
        <v>3.0795728556665521E-2</v>
      </c>
      <c r="H32" s="26">
        <f t="shared" si="16"/>
        <v>2.3679937010973873E-2</v>
      </c>
      <c r="I32" s="26">
        <f t="shared" si="16"/>
        <v>0</v>
      </c>
      <c r="J32" s="26">
        <f t="shared" si="16"/>
        <v>2.0668274199104375E-4</v>
      </c>
      <c r="K32" s="26">
        <f t="shared" si="16"/>
        <v>0</v>
      </c>
      <c r="L32" s="26">
        <f t="shared" si="16"/>
        <v>6.4859012843856111E-3</v>
      </c>
      <c r="M32" s="26">
        <f t="shared" si="16"/>
        <v>1.0334137099552189E-3</v>
      </c>
      <c r="N32" s="26">
        <f t="shared" si="16"/>
        <v>0</v>
      </c>
      <c r="O32" s="26">
        <f t="shared" si="16"/>
        <v>0</v>
      </c>
      <c r="P32" s="26">
        <f t="shared" si="16"/>
        <v>0</v>
      </c>
      <c r="Q32" s="26">
        <f t="shared" si="16"/>
        <v>1.4763052999360268E-4</v>
      </c>
      <c r="R32" s="26">
        <f t="shared" si="16"/>
        <v>1.2765119826780177E-2</v>
      </c>
      <c r="S32" s="26">
        <f t="shared" si="16"/>
        <v>2.293194232567295E-3</v>
      </c>
      <c r="T32" s="26">
        <f t="shared" si="16"/>
        <v>5.1926578416416513E-2</v>
      </c>
      <c r="U32" s="26">
        <f t="shared" si="16"/>
        <v>2.2636681265685741E-3</v>
      </c>
      <c r="V32" s="26">
        <f t="shared" si="16"/>
        <v>2.7557698932139164E-3</v>
      </c>
      <c r="W32" s="26">
        <f t="shared" si="16"/>
        <v>1.5924413168643275E-2</v>
      </c>
      <c r="X32" s="52">
        <f>X5/Y5</f>
        <v>1.082623886619753E-4</v>
      </c>
    </row>
    <row r="33" spans="1:37" x14ac:dyDescent="0.25">
      <c r="A33" s="43" t="s">
        <v>60</v>
      </c>
      <c r="B33" s="26">
        <f>B13/$Y$13</f>
        <v>0.87242375758689916</v>
      </c>
      <c r="C33" s="26">
        <f t="shared" ref="C33:W33" si="17">C13/$Y$13</f>
        <v>8.6619194388351563E-3</v>
      </c>
      <c r="D33" s="26">
        <f t="shared" si="17"/>
        <v>8.1865264137556627E-4</v>
      </c>
      <c r="E33" s="26">
        <f t="shared" si="17"/>
        <v>1.1576035595591339E-3</v>
      </c>
      <c r="F33" s="26">
        <f t="shared" si="17"/>
        <v>1.8671025154179581E-4</v>
      </c>
      <c r="G33" s="26">
        <f t="shared" si="17"/>
        <v>9.3067879230064382E-4</v>
      </c>
      <c r="H33" s="26">
        <f t="shared" si="17"/>
        <v>1.880028609755467E-3</v>
      </c>
      <c r="I33" s="26">
        <f t="shared" si="17"/>
        <v>1.0728658300132421E-3</v>
      </c>
      <c r="J33" s="26">
        <f t="shared" si="17"/>
        <v>1.0269063834798769E-3</v>
      </c>
      <c r="K33" s="26">
        <f t="shared" si="17"/>
        <v>1.1461136979257927E-3</v>
      </c>
      <c r="L33" s="26">
        <f t="shared" si="17"/>
        <v>7.7125696213803331E-4</v>
      </c>
      <c r="M33" s="26">
        <f t="shared" si="17"/>
        <v>1.0513223394507272E-3</v>
      </c>
      <c r="N33" s="26">
        <f t="shared" si="17"/>
        <v>3.3464222007106479E-4</v>
      </c>
      <c r="O33" s="26">
        <f t="shared" si="17"/>
        <v>2.8351233580269607E-3</v>
      </c>
      <c r="P33" s="26">
        <f t="shared" si="17"/>
        <v>3.9065529553360356E-4</v>
      </c>
      <c r="Q33" s="26">
        <f t="shared" si="17"/>
        <v>1.0168527545507033E-3</v>
      </c>
      <c r="R33" s="26">
        <f t="shared" si="17"/>
        <v>1.1015904840965952E-3</v>
      </c>
      <c r="S33" s="26">
        <f t="shared" si="17"/>
        <v>5.4864089299204617E-4</v>
      </c>
      <c r="T33" s="26">
        <f t="shared" si="17"/>
        <v>8.3014250300890761E-4</v>
      </c>
      <c r="U33" s="26">
        <f t="shared" si="17"/>
        <v>8.7035701872560211E-4</v>
      </c>
      <c r="V33" s="26">
        <f t="shared" si="17"/>
        <v>2.7446406976643985E-3</v>
      </c>
      <c r="W33" s="26">
        <f t="shared" si="17"/>
        <v>2.3410593077932858E-4</v>
      </c>
      <c r="X33" s="52">
        <f>X13/Y13</f>
        <v>9.7965432751276088E-2</v>
      </c>
    </row>
    <row r="34" spans="1:37" x14ac:dyDescent="0.25">
      <c r="A34" s="43" t="s">
        <v>51</v>
      </c>
      <c r="B34" s="26">
        <f t="shared" ref="B34:W34" si="18">B17/$Y$17</f>
        <v>0.91475116976206561</v>
      </c>
      <c r="C34" s="26">
        <f t="shared" si="18"/>
        <v>1.0879063747884473E-2</v>
      </c>
      <c r="D34" s="26">
        <f t="shared" si="18"/>
        <v>2.613298231253388E-3</v>
      </c>
      <c r="E34" s="26">
        <f t="shared" si="18"/>
        <v>2.1099963496786613E-3</v>
      </c>
      <c r="F34" s="26">
        <f t="shared" si="18"/>
        <v>2.0215037111600285E-3</v>
      </c>
      <c r="G34" s="26">
        <f t="shared" si="18"/>
        <v>2.2123159629658311E-3</v>
      </c>
      <c r="H34" s="26">
        <f t="shared" si="18"/>
        <v>5.0855613198677041E-3</v>
      </c>
      <c r="I34" s="26">
        <f t="shared" si="18"/>
        <v>5.5722708317201865E-3</v>
      </c>
      <c r="J34" s="26">
        <f t="shared" si="18"/>
        <v>5.3095583111179949E-3</v>
      </c>
      <c r="K34" s="26">
        <f t="shared" si="18"/>
        <v>4.2338196741258591E-3</v>
      </c>
      <c r="L34" s="26">
        <f t="shared" si="18"/>
        <v>6.2995697045452048E-3</v>
      </c>
      <c r="M34" s="26">
        <f t="shared" si="18"/>
        <v>7.7099211309359225E-3</v>
      </c>
      <c r="N34" s="26">
        <f t="shared" si="18"/>
        <v>4.1066115062553237E-3</v>
      </c>
      <c r="O34" s="26">
        <f t="shared" si="18"/>
        <v>2.8400606174573857E-3</v>
      </c>
      <c r="P34" s="26">
        <f t="shared" si="18"/>
        <v>2.4833246684291457E-3</v>
      </c>
      <c r="Q34" s="26">
        <f t="shared" si="18"/>
        <v>2.0436268707896862E-3</v>
      </c>
      <c r="R34" s="26">
        <f t="shared" si="18"/>
        <v>3.8273066159308878E-3</v>
      </c>
      <c r="S34" s="26">
        <f t="shared" si="18"/>
        <v>2.0546884506045158E-3</v>
      </c>
      <c r="T34" s="26">
        <f t="shared" si="18"/>
        <v>8.6003783060296685E-4</v>
      </c>
      <c r="U34" s="26">
        <f t="shared" si="18"/>
        <v>2.9783303651427502E-3</v>
      </c>
      <c r="V34" s="26">
        <f t="shared" si="18"/>
        <v>5.0108956561176069E-3</v>
      </c>
      <c r="W34" s="26">
        <f t="shared" si="18"/>
        <v>4.9970686813490713E-3</v>
      </c>
      <c r="X34" s="54">
        <f>X17/Y17</f>
        <v>0</v>
      </c>
    </row>
    <row r="35" spans="1:37" x14ac:dyDescent="0.25">
      <c r="A35" s="43" t="s">
        <v>54</v>
      </c>
      <c r="B35" s="26">
        <f t="shared" ref="B35:W35" si="19">B21/$Y$21</f>
        <v>0.90201729106628248</v>
      </c>
      <c r="C35" s="26">
        <f t="shared" si="19"/>
        <v>0</v>
      </c>
      <c r="D35" s="26">
        <f t="shared" si="19"/>
        <v>0</v>
      </c>
      <c r="E35" s="26">
        <f t="shared" si="19"/>
        <v>0</v>
      </c>
      <c r="F35" s="26">
        <f t="shared" si="19"/>
        <v>0</v>
      </c>
      <c r="G35" s="26">
        <f t="shared" si="19"/>
        <v>0</v>
      </c>
      <c r="H35" s="26">
        <f t="shared" si="19"/>
        <v>0</v>
      </c>
      <c r="I35" s="26">
        <f t="shared" si="19"/>
        <v>0</v>
      </c>
      <c r="J35" s="26">
        <f t="shared" si="19"/>
        <v>0</v>
      </c>
      <c r="K35" s="26">
        <f t="shared" si="19"/>
        <v>0</v>
      </c>
      <c r="L35" s="26">
        <f t="shared" si="19"/>
        <v>0</v>
      </c>
      <c r="M35" s="26">
        <f t="shared" si="19"/>
        <v>9.7982708933717591E-2</v>
      </c>
      <c r="N35" s="26">
        <f t="shared" si="19"/>
        <v>0</v>
      </c>
      <c r="O35" s="26">
        <f t="shared" si="19"/>
        <v>0</v>
      </c>
      <c r="P35" s="26">
        <f t="shared" si="19"/>
        <v>0</v>
      </c>
      <c r="Q35" s="26">
        <f t="shared" si="19"/>
        <v>0</v>
      </c>
      <c r="R35" s="26">
        <f t="shared" si="19"/>
        <v>0</v>
      </c>
      <c r="S35" s="26">
        <f t="shared" si="19"/>
        <v>0</v>
      </c>
      <c r="T35" s="26">
        <f t="shared" si="19"/>
        <v>0</v>
      </c>
      <c r="U35" s="26">
        <f t="shared" si="19"/>
        <v>0</v>
      </c>
      <c r="V35" s="26">
        <f t="shared" si="19"/>
        <v>0</v>
      </c>
      <c r="W35" s="26">
        <f t="shared" si="19"/>
        <v>0</v>
      </c>
      <c r="X35" s="54">
        <f>X21/Y21</f>
        <v>0</v>
      </c>
    </row>
    <row r="36" spans="1:37" x14ac:dyDescent="0.25">
      <c r="A36" s="43" t="s">
        <v>75</v>
      </c>
      <c r="B36" s="26">
        <f t="shared" ref="B36:W36" si="20">B23/$Y$23</f>
        <v>0.76680028063840311</v>
      </c>
      <c r="C36" s="26">
        <f t="shared" si="20"/>
        <v>3.4775611934000923E-2</v>
      </c>
      <c r="D36" s="26">
        <f t="shared" si="20"/>
        <v>4.7934216788260292E-3</v>
      </c>
      <c r="E36" s="26">
        <f t="shared" si="20"/>
        <v>6.7559279956432364E-3</v>
      </c>
      <c r="F36" s="26">
        <f t="shared" si="20"/>
        <v>1.9055936336295085E-2</v>
      </c>
      <c r="G36" s="26">
        <f t="shared" si="20"/>
        <v>4.1104694805736412E-2</v>
      </c>
      <c r="H36" s="26">
        <f t="shared" si="20"/>
        <v>1.1863350685160019E-2</v>
      </c>
      <c r="I36" s="26">
        <f t="shared" si="20"/>
        <v>2.0954661197815732E-2</v>
      </c>
      <c r="J36" s="26">
        <f t="shared" si="20"/>
        <v>1.4998454526275507E-2</v>
      </c>
      <c r="K36" s="26">
        <f t="shared" si="20"/>
        <v>3.8808562415060277E-3</v>
      </c>
      <c r="L36" s="26">
        <f t="shared" si="20"/>
        <v>1.3713012888760237E-2</v>
      </c>
      <c r="M36" s="26">
        <f t="shared" si="20"/>
        <v>6.2162387585185039E-3</v>
      </c>
      <c r="N36" s="26">
        <f t="shared" si="20"/>
        <v>1.2167539164266686E-3</v>
      </c>
      <c r="O36" s="26">
        <f t="shared" si="20"/>
        <v>2.124413087954627E-3</v>
      </c>
      <c r="P36" s="26">
        <f t="shared" si="20"/>
        <v>8.8312784256774327E-5</v>
      </c>
      <c r="Q36" s="26">
        <f t="shared" si="20"/>
        <v>7.3005234985600125E-3</v>
      </c>
      <c r="R36" s="26">
        <f t="shared" si="20"/>
        <v>6.3388954033195798E-3</v>
      </c>
      <c r="S36" s="26">
        <f t="shared" si="20"/>
        <v>1.3295980296436579E-3</v>
      </c>
      <c r="T36" s="26">
        <f t="shared" si="20"/>
        <v>2.4187890354772082E-3</v>
      </c>
      <c r="U36" s="26">
        <f t="shared" si="20"/>
        <v>1.7927495204125191E-2</v>
      </c>
      <c r="V36" s="26">
        <f t="shared" si="20"/>
        <v>9.4053115233464681E-3</v>
      </c>
      <c r="W36" s="26">
        <f t="shared" si="20"/>
        <v>3.3313544727972097E-3</v>
      </c>
      <c r="X36" s="51">
        <f>X23/Y23</f>
        <v>3.6061053571516187E-3</v>
      </c>
    </row>
    <row r="37" spans="1:37" x14ac:dyDescent="0.25">
      <c r="A37" s="43" t="s">
        <v>56</v>
      </c>
      <c r="B37" s="26">
        <f t="shared" ref="B37:W37" si="21">B25/$Y$25</f>
        <v>0.80191067200130628</v>
      </c>
      <c r="C37" s="26">
        <f t="shared" si="21"/>
        <v>2.3692877167197403E-2</v>
      </c>
      <c r="D37" s="26">
        <f t="shared" si="21"/>
        <v>4.6950273536376244E-3</v>
      </c>
      <c r="E37" s="26">
        <f t="shared" si="21"/>
        <v>9.5261424566560506E-5</v>
      </c>
      <c r="F37" s="26">
        <f t="shared" si="21"/>
        <v>2.8170164121825753E-3</v>
      </c>
      <c r="G37" s="26">
        <f t="shared" si="21"/>
        <v>1.9868811409596903E-3</v>
      </c>
      <c r="H37" s="26">
        <f t="shared" si="21"/>
        <v>2.327100514411692E-3</v>
      </c>
      <c r="I37" s="26">
        <f t="shared" si="21"/>
        <v>0</v>
      </c>
      <c r="J37" s="26">
        <f t="shared" si="21"/>
        <v>1.3200511689937669E-3</v>
      </c>
      <c r="K37" s="26">
        <f t="shared" si="21"/>
        <v>2.9803217114395355E-3</v>
      </c>
      <c r="L37" s="26">
        <f t="shared" si="21"/>
        <v>3.9465447320432201E-3</v>
      </c>
      <c r="M37" s="26">
        <f t="shared" si="21"/>
        <v>1.360877493808007E-3</v>
      </c>
      <c r="N37" s="26">
        <f t="shared" si="21"/>
        <v>3.633542908467379E-3</v>
      </c>
      <c r="O37" s="26">
        <f t="shared" si="21"/>
        <v>8.2060912876622833E-3</v>
      </c>
      <c r="P37" s="26">
        <f t="shared" si="21"/>
        <v>3.9465447320432201E-4</v>
      </c>
      <c r="Q37" s="26">
        <f t="shared" si="21"/>
        <v>2.5298712609890851E-2</v>
      </c>
      <c r="R37" s="26">
        <f t="shared" si="21"/>
        <v>4.3901907950246309E-2</v>
      </c>
      <c r="S37" s="26">
        <f t="shared" si="21"/>
        <v>3.7424131079720195E-2</v>
      </c>
      <c r="T37" s="26">
        <f t="shared" si="21"/>
        <v>1.8644021665169699E-3</v>
      </c>
      <c r="U37" s="26">
        <f t="shared" si="21"/>
        <v>1.8739283089736256E-2</v>
      </c>
      <c r="V37" s="26">
        <f t="shared" si="21"/>
        <v>0</v>
      </c>
      <c r="W37" s="26">
        <f t="shared" si="21"/>
        <v>0</v>
      </c>
      <c r="X37" s="51">
        <f>X25/Y25</f>
        <v>1.340464331400887E-2</v>
      </c>
    </row>
    <row r="38" spans="1:37" x14ac:dyDescent="0.25">
      <c r="A38" s="43" t="s">
        <v>59</v>
      </c>
      <c r="B38" s="26">
        <f>B27/$Y$27</f>
        <v>0.81654725067199774</v>
      </c>
      <c r="C38" s="26">
        <f t="shared" ref="C38:W38" si="22">C27/$Y$27</f>
        <v>1.5284597876466551E-2</v>
      </c>
      <c r="D38" s="26">
        <f t="shared" si="22"/>
        <v>1.9740692058424656E-3</v>
      </c>
      <c r="E38" s="26">
        <f t="shared" si="22"/>
        <v>2.0568729546952165E-3</v>
      </c>
      <c r="F38" s="26">
        <f t="shared" si="22"/>
        <v>3.4652325150142686E-3</v>
      </c>
      <c r="G38" s="26">
        <f t="shared" si="22"/>
        <v>9.1160665018477794E-3</v>
      </c>
      <c r="H38" s="26">
        <f t="shared" si="22"/>
        <v>5.6661422429239326E-3</v>
      </c>
      <c r="I38" s="26">
        <f t="shared" si="22"/>
        <v>4.8937711401797887E-3</v>
      </c>
      <c r="J38" s="26">
        <f t="shared" si="22"/>
        <v>4.0427712675166465E-3</v>
      </c>
      <c r="K38" s="26">
        <f t="shared" si="22"/>
        <v>2.3233757766330607E-3</v>
      </c>
      <c r="L38" s="26">
        <f t="shared" si="22"/>
        <v>4.5639478044133715E-3</v>
      </c>
      <c r="M38" s="26">
        <f t="shared" si="22"/>
        <v>3.4972406868397019E-3</v>
      </c>
      <c r="N38" s="26">
        <f t="shared" si="22"/>
        <v>1.5537879931780845E-3</v>
      </c>
      <c r="O38" s="26">
        <f t="shared" si="22"/>
        <v>2.8090649925928916E-3</v>
      </c>
      <c r="P38" s="26">
        <f t="shared" si="22"/>
        <v>8.4682489372939044E-4</v>
      </c>
      <c r="Q38" s="26">
        <f t="shared" si="22"/>
        <v>3.3462456154023331E-3</v>
      </c>
      <c r="R38" s="26">
        <f t="shared" si="22"/>
        <v>5.5429803643782449E-3</v>
      </c>
      <c r="S38" s="26">
        <f t="shared" si="22"/>
        <v>3.0470387918167634E-3</v>
      </c>
      <c r="T38" s="26">
        <f t="shared" si="22"/>
        <v>4.7281636424742878E-3</v>
      </c>
      <c r="U38" s="26">
        <f t="shared" si="22"/>
        <v>4.8318422859957993E-3</v>
      </c>
      <c r="V38" s="26">
        <f t="shared" si="22"/>
        <v>4.1193125479687693E-3</v>
      </c>
      <c r="W38" s="26">
        <f t="shared" si="22"/>
        <v>2.9691058517200566E-3</v>
      </c>
      <c r="X38" s="51">
        <f>X27/Y27</f>
        <v>4.8667033600926293E-2</v>
      </c>
    </row>
    <row r="42" spans="1:37" ht="18.75" x14ac:dyDescent="0.3">
      <c r="A42" s="147" t="s">
        <v>108</v>
      </c>
      <c r="D42" s="33"/>
      <c r="E42" s="34"/>
      <c r="Z42" s="35"/>
    </row>
    <row r="43" spans="1:37" ht="76.5" x14ac:dyDescent="0.25">
      <c r="A43" s="76" t="s">
        <v>2</v>
      </c>
      <c r="B43" s="77" t="s">
        <v>92</v>
      </c>
      <c r="C43" s="77">
        <v>2000</v>
      </c>
      <c r="D43" s="77">
        <v>2001</v>
      </c>
      <c r="E43" s="77">
        <v>2002</v>
      </c>
      <c r="F43" s="77">
        <v>2003</v>
      </c>
      <c r="G43" s="77">
        <v>2004</v>
      </c>
      <c r="H43" s="77">
        <v>2005</v>
      </c>
      <c r="I43" s="77">
        <v>2006</v>
      </c>
      <c r="J43" s="77">
        <v>2007</v>
      </c>
      <c r="K43" s="77">
        <v>2008</v>
      </c>
      <c r="L43" s="77">
        <v>2009</v>
      </c>
      <c r="M43" s="77">
        <v>2010</v>
      </c>
      <c r="N43" s="77">
        <v>2011</v>
      </c>
      <c r="O43" s="77">
        <v>2012</v>
      </c>
      <c r="P43" s="77">
        <v>2013</v>
      </c>
      <c r="Q43" s="77">
        <v>2014</v>
      </c>
      <c r="R43" s="77">
        <v>2015</v>
      </c>
      <c r="S43" s="77">
        <v>2016</v>
      </c>
      <c r="T43" s="77">
        <v>2017</v>
      </c>
      <c r="U43" s="77">
        <v>2018</v>
      </c>
      <c r="V43" s="77">
        <v>2019</v>
      </c>
      <c r="W43" s="77">
        <v>2020</v>
      </c>
      <c r="X43" s="76" t="s">
        <v>89</v>
      </c>
      <c r="Y43" s="76" t="s">
        <v>90</v>
      </c>
      <c r="Z43" s="78" t="s">
        <v>91</v>
      </c>
      <c r="AB43" s="201" t="s">
        <v>250</v>
      </c>
      <c r="AC43" s="201" t="s">
        <v>251</v>
      </c>
      <c r="AD43" s="201" t="s">
        <v>252</v>
      </c>
      <c r="AE43" s="201" t="s">
        <v>103</v>
      </c>
      <c r="AF43" s="201" t="s">
        <v>254</v>
      </c>
      <c r="AI43" s="251" t="s">
        <v>291</v>
      </c>
      <c r="AJ43" s="251" t="s">
        <v>103</v>
      </c>
      <c r="AK43" s="251" t="s">
        <v>292</v>
      </c>
    </row>
    <row r="44" spans="1:37" x14ac:dyDescent="0.25">
      <c r="A44" s="60" t="s">
        <v>49</v>
      </c>
      <c r="B44" s="61">
        <f>SUM(B45:B50)</f>
        <v>96.5</v>
      </c>
      <c r="C44" s="61">
        <f t="shared" ref="C44:X44" si="23">SUM(C45:C50)</f>
        <v>0</v>
      </c>
      <c r="D44" s="61">
        <f t="shared" si="23"/>
        <v>0</v>
      </c>
      <c r="E44" s="61">
        <f t="shared" si="23"/>
        <v>1.43</v>
      </c>
      <c r="F44" s="61">
        <f t="shared" si="23"/>
        <v>0</v>
      </c>
      <c r="G44" s="61">
        <f t="shared" si="23"/>
        <v>0</v>
      </c>
      <c r="H44" s="61">
        <f t="shared" si="23"/>
        <v>0.85</v>
      </c>
      <c r="I44" s="61">
        <f t="shared" si="23"/>
        <v>0</v>
      </c>
      <c r="J44" s="61">
        <f t="shared" si="23"/>
        <v>0.22</v>
      </c>
      <c r="K44" s="61">
        <f t="shared" si="23"/>
        <v>0.61</v>
      </c>
      <c r="L44" s="61">
        <f t="shared" si="23"/>
        <v>0</v>
      </c>
      <c r="M44" s="61">
        <f t="shared" si="23"/>
        <v>0</v>
      </c>
      <c r="N44" s="61">
        <f t="shared" si="23"/>
        <v>0</v>
      </c>
      <c r="O44" s="61">
        <f t="shared" si="23"/>
        <v>0</v>
      </c>
      <c r="P44" s="61">
        <f t="shared" si="23"/>
        <v>0</v>
      </c>
      <c r="Q44" s="61">
        <f t="shared" si="23"/>
        <v>0</v>
      </c>
      <c r="R44" s="61">
        <f t="shared" si="23"/>
        <v>0.34</v>
      </c>
      <c r="S44" s="61">
        <f t="shared" si="23"/>
        <v>0</v>
      </c>
      <c r="T44" s="61">
        <f t="shared" si="23"/>
        <v>0</v>
      </c>
      <c r="U44" s="61">
        <f t="shared" si="23"/>
        <v>0</v>
      </c>
      <c r="V44" s="61">
        <f t="shared" si="23"/>
        <v>0</v>
      </c>
      <c r="W44" s="61">
        <f t="shared" si="23"/>
        <v>0</v>
      </c>
      <c r="X44" s="61">
        <f t="shared" si="23"/>
        <v>0.19</v>
      </c>
      <c r="Y44" s="61">
        <f>SUM(Y45:Y50)</f>
        <v>100.14</v>
      </c>
      <c r="Z44" s="62">
        <f>Y44/$Y$65</f>
        <v>0.1398701026608003</v>
      </c>
      <c r="AB44" s="61">
        <f>SUM(B44:T44)</f>
        <v>99.95</v>
      </c>
      <c r="AC44" s="61">
        <f>SUM(U44:W44)</f>
        <v>0</v>
      </c>
      <c r="AD44" s="61">
        <f>X44</f>
        <v>0.19</v>
      </c>
      <c r="AE44" s="61">
        <f>SUM(AB44:AD44)</f>
        <v>100.14</v>
      </c>
      <c r="AF44" s="62">
        <f>AC44/AE44</f>
        <v>0</v>
      </c>
      <c r="AH44" s="44" t="s">
        <v>51</v>
      </c>
      <c r="AI44" s="162">
        <f>AC55</f>
        <v>17.59</v>
      </c>
      <c r="AJ44" s="162">
        <f>AB55</f>
        <v>402.87000000000018</v>
      </c>
      <c r="AK44" s="249">
        <f>AI44/AJ44</f>
        <v>4.3661727108000079E-2</v>
      </c>
    </row>
    <row r="45" spans="1:37" x14ac:dyDescent="0.25">
      <c r="A45" s="13" t="s">
        <v>11</v>
      </c>
      <c r="B45" s="14"/>
      <c r="C45" s="14"/>
      <c r="D45" s="14"/>
      <c r="E45" s="14">
        <v>1.43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>
        <v>0.34</v>
      </c>
      <c r="S45" s="14"/>
      <c r="T45" s="14"/>
      <c r="U45" s="14"/>
      <c r="V45" s="14"/>
      <c r="W45" s="14"/>
      <c r="X45" s="14">
        <v>0.19</v>
      </c>
      <c r="Y45" s="71">
        <v>1.96</v>
      </c>
      <c r="Z45" s="74">
        <f t="shared" ref="Z45:Z65" si="24">Y45/$Y$65</f>
        <v>2.7376213422725046E-3</v>
      </c>
      <c r="AB45" s="14">
        <f t="shared" ref="AB45:AB65" si="25">SUM(B45:T45)</f>
        <v>1.77</v>
      </c>
      <c r="AC45" s="14">
        <f t="shared" ref="AC45:AC65" si="26">SUM(U45:W45)</f>
        <v>0</v>
      </c>
      <c r="AD45" s="14">
        <f t="shared" ref="AD45:AD65" si="27">X45</f>
        <v>0.19</v>
      </c>
      <c r="AE45" s="14">
        <f t="shared" ref="AE45:AE65" si="28">SUM(AB45:AD45)</f>
        <v>1.96</v>
      </c>
      <c r="AF45" s="74">
        <f t="shared" ref="AF45:AF65" si="29">AC45/AE45</f>
        <v>0</v>
      </c>
      <c r="AH45" s="44" t="s">
        <v>60</v>
      </c>
      <c r="AI45" s="162">
        <f>AC51</f>
        <v>5.24</v>
      </c>
      <c r="AJ45" s="162">
        <f>AB51</f>
        <v>81.739999999999981</v>
      </c>
      <c r="AK45" s="249">
        <f t="shared" ref="AK45:AK46" si="30">AI45/AJ45</f>
        <v>6.4105701003180832E-2</v>
      </c>
    </row>
    <row r="46" spans="1:37" x14ac:dyDescent="0.25">
      <c r="A46" s="13" t="s">
        <v>12</v>
      </c>
      <c r="B46" s="14"/>
      <c r="C46" s="253"/>
      <c r="D46" s="14"/>
      <c r="E46" s="14"/>
      <c r="F46" s="14"/>
      <c r="G46" s="14"/>
      <c r="H46" s="14"/>
      <c r="I46" s="14"/>
      <c r="J46" s="14">
        <v>0.19</v>
      </c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71">
        <v>0.19</v>
      </c>
      <c r="Z46" s="74">
        <f t="shared" si="24"/>
        <v>2.653816607304979E-4</v>
      </c>
      <c r="AB46" s="14">
        <f t="shared" si="25"/>
        <v>0.19</v>
      </c>
      <c r="AC46" s="14">
        <f t="shared" si="26"/>
        <v>0</v>
      </c>
      <c r="AD46" s="14">
        <f t="shared" si="27"/>
        <v>0</v>
      </c>
      <c r="AE46" s="14">
        <f t="shared" si="28"/>
        <v>0.19</v>
      </c>
      <c r="AF46" s="74">
        <f t="shared" si="29"/>
        <v>0</v>
      </c>
      <c r="AH46" s="44" t="s">
        <v>75</v>
      </c>
      <c r="AI46" s="162">
        <f>AC61</f>
        <v>3.76</v>
      </c>
      <c r="AJ46" s="162">
        <f>AB61</f>
        <v>14.07</v>
      </c>
      <c r="AK46" s="249">
        <f t="shared" si="30"/>
        <v>0.26723525230987916</v>
      </c>
    </row>
    <row r="47" spans="1:37" x14ac:dyDescent="0.25">
      <c r="A47" s="13" t="s">
        <v>13</v>
      </c>
      <c r="B47" s="14">
        <v>0.02</v>
      </c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71">
        <v>0.02</v>
      </c>
      <c r="Z47" s="74">
        <f t="shared" si="24"/>
        <v>2.7934911655841883E-5</v>
      </c>
      <c r="AB47" s="14">
        <f t="shared" si="25"/>
        <v>0.02</v>
      </c>
      <c r="AC47" s="14">
        <f t="shared" si="26"/>
        <v>0</v>
      </c>
      <c r="AD47" s="14">
        <f t="shared" si="27"/>
        <v>0</v>
      </c>
      <c r="AE47" s="14">
        <f t="shared" si="28"/>
        <v>0.02</v>
      </c>
      <c r="AF47" s="74">
        <f t="shared" si="29"/>
        <v>0</v>
      </c>
      <c r="AH47" s="44"/>
      <c r="AI47" s="162"/>
      <c r="AJ47" s="162"/>
      <c r="AK47" s="249"/>
    </row>
    <row r="48" spans="1:37" x14ac:dyDescent="0.25">
      <c r="A48" s="13" t="s">
        <v>14</v>
      </c>
      <c r="B48" s="14"/>
      <c r="C48" s="14"/>
      <c r="D48" s="14"/>
      <c r="E48" s="14"/>
      <c r="F48" s="14"/>
      <c r="G48" s="14"/>
      <c r="H48" s="14">
        <v>0.85</v>
      </c>
      <c r="I48" s="14"/>
      <c r="J48" s="14">
        <v>0.03</v>
      </c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71">
        <v>0.88</v>
      </c>
      <c r="Z48" s="74">
        <f t="shared" si="24"/>
        <v>1.2291361128570428E-3</v>
      </c>
      <c r="AB48" s="14">
        <f t="shared" si="25"/>
        <v>0.88</v>
      </c>
      <c r="AC48" s="14">
        <f t="shared" si="26"/>
        <v>0</v>
      </c>
      <c r="AD48" s="14">
        <f t="shared" si="27"/>
        <v>0</v>
      </c>
      <c r="AE48" s="14">
        <f t="shared" si="28"/>
        <v>0.88</v>
      </c>
      <c r="AF48" s="74">
        <f t="shared" si="29"/>
        <v>0</v>
      </c>
      <c r="AH48" s="44"/>
      <c r="AI48" s="162"/>
      <c r="AJ48" s="162"/>
      <c r="AK48" s="249"/>
    </row>
    <row r="49" spans="1:32" x14ac:dyDescent="0.25">
      <c r="A49" s="13" t="s">
        <v>15</v>
      </c>
      <c r="B49" s="14">
        <v>93.06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71">
        <v>93.06</v>
      </c>
      <c r="Z49" s="74">
        <f t="shared" si="24"/>
        <v>0.12998114393463228</v>
      </c>
      <c r="AB49" s="14">
        <f t="shared" si="25"/>
        <v>93.06</v>
      </c>
      <c r="AC49" s="14">
        <f t="shared" si="26"/>
        <v>0</v>
      </c>
      <c r="AD49" s="14">
        <f t="shared" si="27"/>
        <v>0</v>
      </c>
      <c r="AE49" s="14">
        <f t="shared" si="28"/>
        <v>93.06</v>
      </c>
      <c r="AF49" s="74">
        <f t="shared" si="29"/>
        <v>0</v>
      </c>
    </row>
    <row r="50" spans="1:32" x14ac:dyDescent="0.25">
      <c r="A50" s="13" t="s">
        <v>17</v>
      </c>
      <c r="B50" s="14">
        <v>3.42</v>
      </c>
      <c r="C50" s="14"/>
      <c r="D50" s="14"/>
      <c r="E50" s="14"/>
      <c r="F50" s="14"/>
      <c r="G50" s="14"/>
      <c r="H50" s="14"/>
      <c r="I50" s="14"/>
      <c r="J50" s="14"/>
      <c r="K50" s="14">
        <v>0.61</v>
      </c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71">
        <v>4.03</v>
      </c>
      <c r="Z50" s="74">
        <f t="shared" si="24"/>
        <v>5.6288846986521394E-3</v>
      </c>
      <c r="AB50" s="14">
        <f t="shared" si="25"/>
        <v>4.03</v>
      </c>
      <c r="AC50" s="14">
        <f t="shared" si="26"/>
        <v>0</v>
      </c>
      <c r="AD50" s="14">
        <f t="shared" si="27"/>
        <v>0</v>
      </c>
      <c r="AE50" s="14">
        <f t="shared" si="28"/>
        <v>4.03</v>
      </c>
      <c r="AF50" s="74">
        <f t="shared" si="29"/>
        <v>0</v>
      </c>
    </row>
    <row r="51" spans="1:32" x14ac:dyDescent="0.25">
      <c r="A51" s="60" t="s">
        <v>60</v>
      </c>
      <c r="B51" s="61">
        <f>SUM(B52:B54)</f>
        <v>68.989999999999995</v>
      </c>
      <c r="C51" s="61">
        <f t="shared" ref="C51:Y51" si="31">SUM(C52:C54)</f>
        <v>3.0100000000000002</v>
      </c>
      <c r="D51" s="61">
        <f t="shared" si="31"/>
        <v>0</v>
      </c>
      <c r="E51" s="61">
        <f t="shared" si="31"/>
        <v>0</v>
      </c>
      <c r="F51" s="61">
        <f t="shared" si="31"/>
        <v>0.28000000000000003</v>
      </c>
      <c r="G51" s="61">
        <f t="shared" si="31"/>
        <v>0.19</v>
      </c>
      <c r="H51" s="61">
        <f t="shared" si="31"/>
        <v>0.84</v>
      </c>
      <c r="I51" s="61">
        <f t="shared" si="31"/>
        <v>0</v>
      </c>
      <c r="J51" s="61">
        <f t="shared" si="31"/>
        <v>0</v>
      </c>
      <c r="K51" s="61">
        <f t="shared" si="31"/>
        <v>0.55000000000000004</v>
      </c>
      <c r="L51" s="61">
        <f t="shared" si="31"/>
        <v>1.41</v>
      </c>
      <c r="M51" s="61">
        <f t="shared" si="31"/>
        <v>0.63</v>
      </c>
      <c r="N51" s="61">
        <f t="shared" si="31"/>
        <v>0.19</v>
      </c>
      <c r="O51" s="61">
        <f t="shared" si="31"/>
        <v>0.25</v>
      </c>
      <c r="P51" s="61">
        <f t="shared" si="31"/>
        <v>0</v>
      </c>
      <c r="Q51" s="61">
        <f t="shared" si="31"/>
        <v>0.82</v>
      </c>
      <c r="R51" s="61">
        <f t="shared" si="31"/>
        <v>2.5499999999999998</v>
      </c>
      <c r="S51" s="61">
        <f t="shared" si="31"/>
        <v>1.1299999999999999</v>
      </c>
      <c r="T51" s="61">
        <f t="shared" si="31"/>
        <v>0.9</v>
      </c>
      <c r="U51" s="61">
        <f t="shared" si="31"/>
        <v>0.18</v>
      </c>
      <c r="V51" s="61">
        <f t="shared" si="31"/>
        <v>3.1100000000000003</v>
      </c>
      <c r="W51" s="61">
        <f t="shared" si="31"/>
        <v>1.95</v>
      </c>
      <c r="X51" s="61">
        <f t="shared" si="31"/>
        <v>11.760000000000002</v>
      </c>
      <c r="Y51" s="61">
        <f t="shared" si="31"/>
        <v>98.740000000000009</v>
      </c>
      <c r="Z51" s="62">
        <f t="shared" si="24"/>
        <v>0.13791465884489137</v>
      </c>
      <c r="AB51" s="61">
        <f t="shared" si="25"/>
        <v>81.739999999999981</v>
      </c>
      <c r="AC51" s="61">
        <f t="shared" si="26"/>
        <v>5.24</v>
      </c>
      <c r="AD51" s="61">
        <f t="shared" si="27"/>
        <v>11.760000000000002</v>
      </c>
      <c r="AE51" s="61">
        <f t="shared" si="28"/>
        <v>98.739999999999981</v>
      </c>
      <c r="AF51" s="62">
        <f t="shared" si="29"/>
        <v>5.306866518128419E-2</v>
      </c>
    </row>
    <row r="52" spans="1:32" x14ac:dyDescent="0.25">
      <c r="A52" s="13" t="s">
        <v>22</v>
      </c>
      <c r="B52" s="14">
        <v>17.709999999999997</v>
      </c>
      <c r="C52" s="14"/>
      <c r="D52" s="14"/>
      <c r="E52" s="14"/>
      <c r="F52" s="14"/>
      <c r="G52" s="14">
        <v>0.15</v>
      </c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>
        <v>1.1800000000000002</v>
      </c>
      <c r="W52" s="14"/>
      <c r="X52" s="14">
        <v>1.68</v>
      </c>
      <c r="Y52" s="109">
        <v>20.719999999999995</v>
      </c>
      <c r="Z52" s="74">
        <f t="shared" si="24"/>
        <v>2.8940568475452184E-2</v>
      </c>
      <c r="AB52" s="14">
        <f t="shared" si="25"/>
        <v>17.859999999999996</v>
      </c>
      <c r="AC52" s="14">
        <f t="shared" si="26"/>
        <v>1.1800000000000002</v>
      </c>
      <c r="AD52" s="14">
        <f t="shared" si="27"/>
        <v>1.68</v>
      </c>
      <c r="AE52" s="14">
        <f t="shared" si="28"/>
        <v>20.719999999999995</v>
      </c>
      <c r="AF52" s="74">
        <f t="shared" si="29"/>
        <v>5.6949806949806968E-2</v>
      </c>
    </row>
    <row r="53" spans="1:32" x14ac:dyDescent="0.25">
      <c r="A53" s="13" t="s">
        <v>23</v>
      </c>
      <c r="B53" s="14">
        <v>6.38</v>
      </c>
      <c r="C53" s="14">
        <v>0.2</v>
      </c>
      <c r="D53" s="14"/>
      <c r="E53" s="14"/>
      <c r="F53" s="14"/>
      <c r="G53" s="14"/>
      <c r="H53" s="14">
        <v>0.75</v>
      </c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>
        <v>3.15</v>
      </c>
      <c r="Y53" s="109">
        <v>10.48</v>
      </c>
      <c r="Z53" s="74">
        <f t="shared" si="24"/>
        <v>1.4637893707661147E-2</v>
      </c>
      <c r="AB53" s="14">
        <f t="shared" si="25"/>
        <v>7.33</v>
      </c>
      <c r="AC53" s="14">
        <f t="shared" si="26"/>
        <v>0</v>
      </c>
      <c r="AD53" s="14">
        <f t="shared" si="27"/>
        <v>3.15</v>
      </c>
      <c r="AE53" s="14">
        <f t="shared" si="28"/>
        <v>10.48</v>
      </c>
      <c r="AF53" s="74">
        <f t="shared" si="29"/>
        <v>0</v>
      </c>
    </row>
    <row r="54" spans="1:32" x14ac:dyDescent="0.25">
      <c r="A54" s="13" t="s">
        <v>24</v>
      </c>
      <c r="B54" s="14">
        <v>44.9</v>
      </c>
      <c r="C54" s="14">
        <v>2.81</v>
      </c>
      <c r="D54" s="14"/>
      <c r="E54" s="14"/>
      <c r="F54" s="14">
        <v>0.28000000000000003</v>
      </c>
      <c r="G54" s="14">
        <v>0.04</v>
      </c>
      <c r="H54" s="14">
        <v>0.09</v>
      </c>
      <c r="I54" s="14"/>
      <c r="J54" s="14"/>
      <c r="K54" s="14">
        <v>0.55000000000000004</v>
      </c>
      <c r="L54" s="14">
        <v>1.41</v>
      </c>
      <c r="M54" s="14">
        <v>0.63</v>
      </c>
      <c r="N54" s="14">
        <v>0.19</v>
      </c>
      <c r="O54" s="14">
        <v>0.25</v>
      </c>
      <c r="P54" s="14"/>
      <c r="Q54" s="14">
        <v>0.82</v>
      </c>
      <c r="R54" s="14">
        <v>2.5499999999999998</v>
      </c>
      <c r="S54" s="14">
        <v>1.1299999999999999</v>
      </c>
      <c r="T54" s="14">
        <v>0.9</v>
      </c>
      <c r="U54" s="14">
        <v>0.18</v>
      </c>
      <c r="V54" s="14">
        <v>1.93</v>
      </c>
      <c r="W54" s="14">
        <v>1.95</v>
      </c>
      <c r="X54" s="14">
        <v>6.9300000000000006</v>
      </c>
      <c r="Y54" s="109">
        <v>67.540000000000006</v>
      </c>
      <c r="Z54" s="74">
        <f t="shared" si="24"/>
        <v>9.4336196661778046E-2</v>
      </c>
      <c r="AB54" s="14">
        <f t="shared" si="25"/>
        <v>56.55</v>
      </c>
      <c r="AC54" s="14">
        <f t="shared" si="26"/>
        <v>4.0599999999999996</v>
      </c>
      <c r="AD54" s="14">
        <f t="shared" si="27"/>
        <v>6.9300000000000006</v>
      </c>
      <c r="AE54" s="14">
        <f t="shared" si="28"/>
        <v>67.540000000000006</v>
      </c>
      <c r="AF54" s="74">
        <f t="shared" si="29"/>
        <v>6.01125259105715E-2</v>
      </c>
    </row>
    <row r="55" spans="1:32" x14ac:dyDescent="0.25">
      <c r="A55" s="60" t="s">
        <v>51</v>
      </c>
      <c r="B55" s="61">
        <f>SUM(B56:B58)</f>
        <v>292.99999999999994</v>
      </c>
      <c r="C55" s="61">
        <f t="shared" ref="C55:Y55" si="32">SUM(C56:C58)</f>
        <v>19.93</v>
      </c>
      <c r="D55" s="61">
        <f t="shared" si="32"/>
        <v>3.36</v>
      </c>
      <c r="E55" s="61">
        <f t="shared" si="32"/>
        <v>10.17</v>
      </c>
      <c r="F55" s="61">
        <f t="shared" si="32"/>
        <v>0.44</v>
      </c>
      <c r="G55" s="61">
        <f t="shared" si="32"/>
        <v>6.16</v>
      </c>
      <c r="H55" s="61">
        <f t="shared" si="32"/>
        <v>4.3499999999999996</v>
      </c>
      <c r="I55" s="61">
        <f t="shared" si="32"/>
        <v>7.47</v>
      </c>
      <c r="J55" s="61">
        <f t="shared" si="32"/>
        <v>4.17</v>
      </c>
      <c r="K55" s="61">
        <f t="shared" si="32"/>
        <v>6.41</v>
      </c>
      <c r="L55" s="61">
        <f t="shared" si="32"/>
        <v>5.7</v>
      </c>
      <c r="M55" s="61">
        <f t="shared" si="32"/>
        <v>5.25</v>
      </c>
      <c r="N55" s="61">
        <f t="shared" si="32"/>
        <v>2.54</v>
      </c>
      <c r="O55" s="61">
        <f t="shared" si="32"/>
        <v>4.5599999999999996</v>
      </c>
      <c r="P55" s="61">
        <f t="shared" si="32"/>
        <v>2.35</v>
      </c>
      <c r="Q55" s="61">
        <f t="shared" si="32"/>
        <v>3.56</v>
      </c>
      <c r="R55" s="61">
        <f t="shared" si="32"/>
        <v>18.8</v>
      </c>
      <c r="S55" s="61">
        <f t="shared" si="32"/>
        <v>2.98</v>
      </c>
      <c r="T55" s="61">
        <f t="shared" si="32"/>
        <v>1.67</v>
      </c>
      <c r="U55" s="61">
        <f t="shared" si="32"/>
        <v>1.08</v>
      </c>
      <c r="V55" s="61">
        <f t="shared" si="32"/>
        <v>8.67</v>
      </c>
      <c r="W55" s="61">
        <f t="shared" si="32"/>
        <v>7.84</v>
      </c>
      <c r="X55" s="61">
        <f t="shared" si="32"/>
        <v>0.03</v>
      </c>
      <c r="Y55" s="61">
        <f t="shared" si="32"/>
        <v>420.49000000000012</v>
      </c>
      <c r="Z55" s="62">
        <f t="shared" si="24"/>
        <v>0.58731755010824782</v>
      </c>
      <c r="AB55" s="61">
        <f t="shared" si="25"/>
        <v>402.87000000000018</v>
      </c>
      <c r="AC55" s="61">
        <f t="shared" si="26"/>
        <v>17.59</v>
      </c>
      <c r="AD55" s="61">
        <f t="shared" si="27"/>
        <v>0.03</v>
      </c>
      <c r="AE55" s="61">
        <f t="shared" si="28"/>
        <v>420.49000000000012</v>
      </c>
      <c r="AF55" s="62">
        <f t="shared" si="29"/>
        <v>4.1832148208042985E-2</v>
      </c>
    </row>
    <row r="56" spans="1:32" x14ac:dyDescent="0.25">
      <c r="A56" s="13" t="s">
        <v>25</v>
      </c>
      <c r="B56" s="109">
        <v>0.71</v>
      </c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>
        <v>0.71</v>
      </c>
      <c r="Z56" s="74">
        <f t="shared" si="24"/>
        <v>9.9168936378238683E-4</v>
      </c>
      <c r="AB56" s="109">
        <f t="shared" si="25"/>
        <v>0.71</v>
      </c>
      <c r="AC56" s="109">
        <f t="shared" si="26"/>
        <v>0</v>
      </c>
      <c r="AD56" s="109">
        <f t="shared" si="27"/>
        <v>0</v>
      </c>
      <c r="AE56" s="109">
        <f t="shared" si="28"/>
        <v>0.71</v>
      </c>
      <c r="AF56" s="74">
        <f t="shared" si="29"/>
        <v>0</v>
      </c>
    </row>
    <row r="57" spans="1:32" x14ac:dyDescent="0.25">
      <c r="A57" s="13" t="s">
        <v>27</v>
      </c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>
        <v>0.77</v>
      </c>
      <c r="Q57" s="109"/>
      <c r="R57" s="109"/>
      <c r="S57" s="109"/>
      <c r="T57" s="109"/>
      <c r="U57" s="109"/>
      <c r="V57" s="109"/>
      <c r="W57" s="109"/>
      <c r="X57" s="109"/>
      <c r="Y57" s="109">
        <v>0.77</v>
      </c>
      <c r="Z57" s="74">
        <f t="shared" si="24"/>
        <v>1.0754940987499125E-3</v>
      </c>
      <c r="AB57" s="109">
        <f t="shared" si="25"/>
        <v>0.77</v>
      </c>
      <c r="AC57" s="109">
        <f t="shared" si="26"/>
        <v>0</v>
      </c>
      <c r="AD57" s="109">
        <f t="shared" si="27"/>
        <v>0</v>
      </c>
      <c r="AE57" s="109">
        <f t="shared" si="28"/>
        <v>0.77</v>
      </c>
      <c r="AF57" s="74">
        <f t="shared" si="29"/>
        <v>0</v>
      </c>
    </row>
    <row r="58" spans="1:32" x14ac:dyDescent="0.25">
      <c r="A58" s="13" t="s">
        <v>28</v>
      </c>
      <c r="B58" s="109">
        <v>292.28999999999996</v>
      </c>
      <c r="C58" s="109">
        <v>19.93</v>
      </c>
      <c r="D58" s="109">
        <v>3.36</v>
      </c>
      <c r="E58" s="109">
        <v>10.17</v>
      </c>
      <c r="F58" s="109">
        <v>0.44</v>
      </c>
      <c r="G58" s="109">
        <v>6.16</v>
      </c>
      <c r="H58" s="109">
        <v>4.3499999999999996</v>
      </c>
      <c r="I58" s="109">
        <v>7.47</v>
      </c>
      <c r="J58" s="109">
        <v>4.17</v>
      </c>
      <c r="K58" s="109">
        <v>6.41</v>
      </c>
      <c r="L58" s="109">
        <v>5.7</v>
      </c>
      <c r="M58" s="109">
        <v>5.25</v>
      </c>
      <c r="N58" s="109">
        <v>2.54</v>
      </c>
      <c r="O58" s="109">
        <v>4.5599999999999996</v>
      </c>
      <c r="P58" s="109">
        <v>1.58</v>
      </c>
      <c r="Q58" s="109">
        <v>3.56</v>
      </c>
      <c r="R58" s="109">
        <v>18.8</v>
      </c>
      <c r="S58" s="109">
        <v>2.98</v>
      </c>
      <c r="T58" s="109">
        <v>1.67</v>
      </c>
      <c r="U58" s="109">
        <v>1.08</v>
      </c>
      <c r="V58" s="109">
        <v>8.67</v>
      </c>
      <c r="W58" s="109">
        <v>7.84</v>
      </c>
      <c r="X58" s="109">
        <v>0.03</v>
      </c>
      <c r="Y58" s="109">
        <v>419.0100000000001</v>
      </c>
      <c r="Z58" s="74">
        <f t="shared" si="24"/>
        <v>0.5852503666457155</v>
      </c>
      <c r="AB58" s="109">
        <f t="shared" si="25"/>
        <v>401.39000000000016</v>
      </c>
      <c r="AC58" s="109">
        <f t="shared" si="26"/>
        <v>17.59</v>
      </c>
      <c r="AD58" s="109">
        <f t="shared" si="27"/>
        <v>0.03</v>
      </c>
      <c r="AE58" s="109">
        <f t="shared" si="28"/>
        <v>419.0100000000001</v>
      </c>
      <c r="AF58" s="74">
        <f t="shared" si="29"/>
        <v>4.1979905014200125E-2</v>
      </c>
    </row>
    <row r="59" spans="1:32" x14ac:dyDescent="0.25">
      <c r="A59" s="60" t="s">
        <v>54</v>
      </c>
      <c r="B59" s="61">
        <f>B60</f>
        <v>0</v>
      </c>
      <c r="C59" s="61">
        <f t="shared" ref="C59:Y59" si="33">C60</f>
        <v>0</v>
      </c>
      <c r="D59" s="61">
        <f t="shared" si="33"/>
        <v>0</v>
      </c>
      <c r="E59" s="61">
        <f t="shared" si="33"/>
        <v>0</v>
      </c>
      <c r="F59" s="61">
        <f t="shared" si="33"/>
        <v>0</v>
      </c>
      <c r="G59" s="61">
        <f t="shared" si="33"/>
        <v>0</v>
      </c>
      <c r="H59" s="61">
        <f t="shared" si="33"/>
        <v>0</v>
      </c>
      <c r="I59" s="61">
        <f t="shared" si="33"/>
        <v>0</v>
      </c>
      <c r="J59" s="61">
        <f t="shared" si="33"/>
        <v>0</v>
      </c>
      <c r="K59" s="61">
        <f t="shared" si="33"/>
        <v>0</v>
      </c>
      <c r="L59" s="61">
        <f t="shared" si="33"/>
        <v>0</v>
      </c>
      <c r="M59" s="61">
        <f t="shared" si="33"/>
        <v>0</v>
      </c>
      <c r="N59" s="61">
        <f t="shared" si="33"/>
        <v>0</v>
      </c>
      <c r="O59" s="61">
        <f t="shared" si="33"/>
        <v>0</v>
      </c>
      <c r="P59" s="61">
        <f t="shared" si="33"/>
        <v>0</v>
      </c>
      <c r="Q59" s="61">
        <f t="shared" si="33"/>
        <v>0</v>
      </c>
      <c r="R59" s="61">
        <f t="shared" si="33"/>
        <v>0</v>
      </c>
      <c r="S59" s="61">
        <f t="shared" si="33"/>
        <v>0</v>
      </c>
      <c r="T59" s="61">
        <f t="shared" si="33"/>
        <v>0</v>
      </c>
      <c r="U59" s="61">
        <f t="shared" si="33"/>
        <v>0</v>
      </c>
      <c r="V59" s="61">
        <f t="shared" si="33"/>
        <v>0</v>
      </c>
      <c r="W59" s="61">
        <f t="shared" si="33"/>
        <v>0.39</v>
      </c>
      <c r="X59" s="61">
        <f t="shared" si="33"/>
        <v>0</v>
      </c>
      <c r="Y59" s="61">
        <f t="shared" si="33"/>
        <v>0.39</v>
      </c>
      <c r="Z59" s="62">
        <f t="shared" si="24"/>
        <v>5.4473077728891671E-4</v>
      </c>
      <c r="AB59" s="61">
        <f t="shared" si="25"/>
        <v>0</v>
      </c>
      <c r="AC59" s="61">
        <f t="shared" si="26"/>
        <v>0.39</v>
      </c>
      <c r="AD59" s="61">
        <f t="shared" si="27"/>
        <v>0</v>
      </c>
      <c r="AE59" s="61">
        <f t="shared" si="28"/>
        <v>0.39</v>
      </c>
      <c r="AF59" s="62">
        <f t="shared" si="29"/>
        <v>1</v>
      </c>
    </row>
    <row r="60" spans="1:32" x14ac:dyDescent="0.25">
      <c r="A60" s="13" t="s">
        <v>44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>
        <v>0.39</v>
      </c>
      <c r="X60" s="14"/>
      <c r="Y60" s="109">
        <v>0.39</v>
      </c>
      <c r="Z60" s="74">
        <f t="shared" si="24"/>
        <v>5.4473077728891671E-4</v>
      </c>
      <c r="AB60" s="14">
        <f t="shared" si="25"/>
        <v>0</v>
      </c>
      <c r="AC60" s="14">
        <f t="shared" si="26"/>
        <v>0.39</v>
      </c>
      <c r="AD60" s="14">
        <f t="shared" si="27"/>
        <v>0</v>
      </c>
      <c r="AE60" s="14">
        <f t="shared" si="28"/>
        <v>0.39</v>
      </c>
      <c r="AF60" s="74">
        <f t="shared" si="29"/>
        <v>1</v>
      </c>
    </row>
    <row r="61" spans="1:32" x14ac:dyDescent="0.25">
      <c r="A61" s="60" t="s">
        <v>75</v>
      </c>
      <c r="B61" s="61">
        <f>B62</f>
        <v>10.75</v>
      </c>
      <c r="C61" s="61">
        <f t="shared" ref="C61:Y61" si="34">C62</f>
        <v>0</v>
      </c>
      <c r="D61" s="61">
        <f t="shared" si="34"/>
        <v>0</v>
      </c>
      <c r="E61" s="61">
        <f t="shared" si="34"/>
        <v>0</v>
      </c>
      <c r="F61" s="61">
        <f t="shared" si="34"/>
        <v>0</v>
      </c>
      <c r="G61" s="61">
        <f t="shared" si="34"/>
        <v>0</v>
      </c>
      <c r="H61" s="61">
        <f t="shared" si="34"/>
        <v>0</v>
      </c>
      <c r="I61" s="61">
        <f t="shared" si="34"/>
        <v>0</v>
      </c>
      <c r="J61" s="61">
        <f t="shared" si="34"/>
        <v>0</v>
      </c>
      <c r="K61" s="61">
        <f t="shared" si="34"/>
        <v>0</v>
      </c>
      <c r="L61" s="61">
        <f t="shared" si="34"/>
        <v>0</v>
      </c>
      <c r="M61" s="61">
        <f t="shared" si="34"/>
        <v>0</v>
      </c>
      <c r="N61" s="61">
        <f t="shared" si="34"/>
        <v>0</v>
      </c>
      <c r="O61" s="61">
        <f t="shared" si="34"/>
        <v>0</v>
      </c>
      <c r="P61" s="61">
        <f t="shared" si="34"/>
        <v>0</v>
      </c>
      <c r="Q61" s="61">
        <f t="shared" si="34"/>
        <v>0</v>
      </c>
      <c r="R61" s="61">
        <f t="shared" si="34"/>
        <v>3.32</v>
      </c>
      <c r="S61" s="61">
        <f t="shared" si="34"/>
        <v>0</v>
      </c>
      <c r="T61" s="61">
        <f t="shared" si="34"/>
        <v>0</v>
      </c>
      <c r="U61" s="61">
        <f t="shared" si="34"/>
        <v>2.04</v>
      </c>
      <c r="V61" s="61">
        <f t="shared" si="34"/>
        <v>1.72</v>
      </c>
      <c r="W61" s="61">
        <f t="shared" si="34"/>
        <v>0</v>
      </c>
      <c r="X61" s="61">
        <f t="shared" si="34"/>
        <v>7.0000000000000007E-2</v>
      </c>
      <c r="Y61" s="61">
        <f t="shared" si="34"/>
        <v>17.899999999999999</v>
      </c>
      <c r="Z61" s="62">
        <f t="shared" si="24"/>
        <v>2.5001745931978483E-2</v>
      </c>
      <c r="AB61" s="61">
        <f t="shared" si="25"/>
        <v>14.07</v>
      </c>
      <c r="AC61" s="61">
        <f t="shared" si="26"/>
        <v>3.76</v>
      </c>
      <c r="AD61" s="61">
        <f t="shared" si="27"/>
        <v>7.0000000000000007E-2</v>
      </c>
      <c r="AE61" s="61">
        <f t="shared" si="28"/>
        <v>17.899999999999999</v>
      </c>
      <c r="AF61" s="62">
        <f t="shared" si="29"/>
        <v>0.21005586592178771</v>
      </c>
    </row>
    <row r="62" spans="1:32" x14ac:dyDescent="0.25">
      <c r="A62" s="13" t="s">
        <v>76</v>
      </c>
      <c r="B62" s="14">
        <v>10.75</v>
      </c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>
        <v>3.32</v>
      </c>
      <c r="S62" s="14"/>
      <c r="T62" s="14"/>
      <c r="U62" s="14">
        <v>2.04</v>
      </c>
      <c r="V62" s="14">
        <v>1.72</v>
      </c>
      <c r="W62" s="14"/>
      <c r="X62" s="14">
        <v>7.0000000000000007E-2</v>
      </c>
      <c r="Y62" s="109">
        <v>17.899999999999999</v>
      </c>
      <c r="Z62" s="74">
        <f t="shared" si="24"/>
        <v>2.5001745931978483E-2</v>
      </c>
      <c r="AB62" s="14">
        <f t="shared" si="25"/>
        <v>14.07</v>
      </c>
      <c r="AC62" s="14">
        <f t="shared" si="26"/>
        <v>3.76</v>
      </c>
      <c r="AD62" s="14">
        <f t="shared" si="27"/>
        <v>7.0000000000000007E-2</v>
      </c>
      <c r="AE62" s="14">
        <f t="shared" si="28"/>
        <v>17.899999999999999</v>
      </c>
      <c r="AF62" s="74">
        <f t="shared" si="29"/>
        <v>0.21005586592178771</v>
      </c>
    </row>
    <row r="63" spans="1:32" x14ac:dyDescent="0.25">
      <c r="A63" s="60" t="s">
        <v>56</v>
      </c>
      <c r="B63" s="61">
        <f>B64</f>
        <v>66.09</v>
      </c>
      <c r="C63" s="61">
        <f t="shared" ref="C63:Y63" si="35">C64</f>
        <v>1.37</v>
      </c>
      <c r="D63" s="61">
        <f t="shared" si="35"/>
        <v>0</v>
      </c>
      <c r="E63" s="61">
        <f t="shared" si="35"/>
        <v>0</v>
      </c>
      <c r="F63" s="61">
        <f t="shared" si="35"/>
        <v>0</v>
      </c>
      <c r="G63" s="61">
        <f t="shared" si="35"/>
        <v>0.12</v>
      </c>
      <c r="H63" s="61">
        <f t="shared" si="35"/>
        <v>0</v>
      </c>
      <c r="I63" s="61">
        <f t="shared" si="35"/>
        <v>0</v>
      </c>
      <c r="J63" s="61">
        <f t="shared" si="35"/>
        <v>0</v>
      </c>
      <c r="K63" s="61">
        <f t="shared" si="35"/>
        <v>0</v>
      </c>
      <c r="L63" s="61">
        <f t="shared" si="35"/>
        <v>0</v>
      </c>
      <c r="M63" s="61">
        <f t="shared" si="35"/>
        <v>0.23</v>
      </c>
      <c r="N63" s="61">
        <f t="shared" si="35"/>
        <v>0</v>
      </c>
      <c r="O63" s="61">
        <f t="shared" si="35"/>
        <v>0</v>
      </c>
      <c r="P63" s="61">
        <f t="shared" si="35"/>
        <v>0</v>
      </c>
      <c r="Q63" s="61">
        <f t="shared" si="35"/>
        <v>0</v>
      </c>
      <c r="R63" s="61">
        <f t="shared" si="35"/>
        <v>0</v>
      </c>
      <c r="S63" s="61">
        <f t="shared" si="35"/>
        <v>0</v>
      </c>
      <c r="T63" s="61">
        <f t="shared" si="35"/>
        <v>0</v>
      </c>
      <c r="U63" s="61">
        <f t="shared" si="35"/>
        <v>0</v>
      </c>
      <c r="V63" s="61">
        <f t="shared" si="35"/>
        <v>0</v>
      </c>
      <c r="W63" s="61">
        <f t="shared" si="35"/>
        <v>0</v>
      </c>
      <c r="X63" s="61">
        <f t="shared" si="35"/>
        <v>10.48</v>
      </c>
      <c r="Y63" s="61">
        <f t="shared" si="35"/>
        <v>78.29000000000002</v>
      </c>
      <c r="Z63" s="62">
        <f t="shared" si="24"/>
        <v>0.10935121167679307</v>
      </c>
      <c r="AB63" s="61">
        <f t="shared" si="25"/>
        <v>67.810000000000016</v>
      </c>
      <c r="AC63" s="61">
        <f t="shared" si="26"/>
        <v>0</v>
      </c>
      <c r="AD63" s="61">
        <f t="shared" si="27"/>
        <v>10.48</v>
      </c>
      <c r="AE63" s="61">
        <f t="shared" si="28"/>
        <v>78.29000000000002</v>
      </c>
      <c r="AF63" s="62">
        <f t="shared" si="29"/>
        <v>0</v>
      </c>
    </row>
    <row r="64" spans="1:32" x14ac:dyDescent="0.25">
      <c r="A64" s="13" t="s">
        <v>46</v>
      </c>
      <c r="B64" s="109">
        <v>66.09</v>
      </c>
      <c r="C64" s="109">
        <v>1.37</v>
      </c>
      <c r="D64" s="109"/>
      <c r="E64" s="109"/>
      <c r="F64" s="109"/>
      <c r="G64" s="109">
        <v>0.12</v>
      </c>
      <c r="H64" s="109"/>
      <c r="I64" s="109"/>
      <c r="J64" s="109"/>
      <c r="K64" s="109"/>
      <c r="L64" s="109"/>
      <c r="M64" s="109">
        <v>0.23</v>
      </c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>
        <v>10.48</v>
      </c>
      <c r="Y64" s="109">
        <v>78.29000000000002</v>
      </c>
      <c r="Z64" s="74">
        <f t="shared" si="24"/>
        <v>0.10935121167679307</v>
      </c>
      <c r="AB64" s="109">
        <f t="shared" si="25"/>
        <v>67.810000000000016</v>
      </c>
      <c r="AC64" s="109">
        <f t="shared" si="26"/>
        <v>0</v>
      </c>
      <c r="AD64" s="109">
        <f t="shared" si="27"/>
        <v>10.48</v>
      </c>
      <c r="AE64" s="109">
        <f t="shared" si="28"/>
        <v>78.29000000000002</v>
      </c>
      <c r="AF64" s="74">
        <f t="shared" si="29"/>
        <v>0</v>
      </c>
    </row>
    <row r="65" spans="1:32" x14ac:dyDescent="0.25">
      <c r="A65" s="80" t="s">
        <v>59</v>
      </c>
      <c r="B65" s="64">
        <f>SUM(B63+B61+B59+B55+B51+B44)</f>
        <v>535.32999999999993</v>
      </c>
      <c r="C65" s="64">
        <f t="shared" ref="C65:X65" si="36">SUM(C63+C61+C59+C55+C51+C44)</f>
        <v>24.310000000000002</v>
      </c>
      <c r="D65" s="64">
        <f t="shared" si="36"/>
        <v>3.36</v>
      </c>
      <c r="E65" s="64">
        <f t="shared" si="36"/>
        <v>11.6</v>
      </c>
      <c r="F65" s="64">
        <f t="shared" si="36"/>
        <v>0.72</v>
      </c>
      <c r="G65" s="64">
        <f t="shared" si="36"/>
        <v>6.4700000000000006</v>
      </c>
      <c r="H65" s="64">
        <f t="shared" si="36"/>
        <v>6.0399999999999991</v>
      </c>
      <c r="I65" s="64">
        <f t="shared" si="36"/>
        <v>7.47</v>
      </c>
      <c r="J65" s="64">
        <f t="shared" si="36"/>
        <v>4.3899999999999997</v>
      </c>
      <c r="K65" s="64">
        <f t="shared" si="36"/>
        <v>7.57</v>
      </c>
      <c r="L65" s="64">
        <f t="shared" si="36"/>
        <v>7.11</v>
      </c>
      <c r="M65" s="64">
        <f t="shared" si="36"/>
        <v>6.11</v>
      </c>
      <c r="N65" s="64">
        <f t="shared" si="36"/>
        <v>2.73</v>
      </c>
      <c r="O65" s="64">
        <f t="shared" si="36"/>
        <v>4.8099999999999996</v>
      </c>
      <c r="P65" s="64">
        <f t="shared" si="36"/>
        <v>2.35</v>
      </c>
      <c r="Q65" s="64">
        <f t="shared" si="36"/>
        <v>4.38</v>
      </c>
      <c r="R65" s="64">
        <f t="shared" si="36"/>
        <v>25.01</v>
      </c>
      <c r="S65" s="64">
        <f t="shared" si="36"/>
        <v>4.1099999999999994</v>
      </c>
      <c r="T65" s="64">
        <f t="shared" si="36"/>
        <v>2.57</v>
      </c>
      <c r="U65" s="64">
        <f t="shared" si="36"/>
        <v>3.3000000000000003</v>
      </c>
      <c r="V65" s="64">
        <f t="shared" si="36"/>
        <v>13.5</v>
      </c>
      <c r="W65" s="64">
        <f t="shared" si="36"/>
        <v>10.18</v>
      </c>
      <c r="X65" s="64">
        <f t="shared" si="36"/>
        <v>22.530000000000005</v>
      </c>
      <c r="Y65" s="64">
        <f>SUM(Y63+Y61+Y59+Y55+Y51+Y44)</f>
        <v>715.95000000000016</v>
      </c>
      <c r="Z65" s="65">
        <f t="shared" si="24"/>
        <v>1</v>
      </c>
      <c r="AB65" s="64">
        <f t="shared" si="25"/>
        <v>666.44</v>
      </c>
      <c r="AC65" s="64">
        <f t="shared" si="26"/>
        <v>26.98</v>
      </c>
      <c r="AD65" s="64">
        <f t="shared" si="27"/>
        <v>22.530000000000005</v>
      </c>
      <c r="AE65" s="64">
        <f t="shared" si="28"/>
        <v>715.95</v>
      </c>
      <c r="AF65" s="65">
        <f t="shared" si="29"/>
        <v>3.7684195823730705E-2</v>
      </c>
    </row>
    <row r="66" spans="1:32" x14ac:dyDescent="0.25">
      <c r="A66" t="s">
        <v>289</v>
      </c>
      <c r="C66" s="162">
        <f>B65+C65</f>
        <v>559.63999999999987</v>
      </c>
      <c r="D66" s="162">
        <f>C66+D65</f>
        <v>562.99999999999989</v>
      </c>
      <c r="E66" s="162">
        <f t="shared" ref="E66:W66" si="37">D66+E65</f>
        <v>574.59999999999991</v>
      </c>
      <c r="F66" s="162">
        <f t="shared" si="37"/>
        <v>575.31999999999994</v>
      </c>
      <c r="G66" s="162">
        <f t="shared" si="37"/>
        <v>581.79</v>
      </c>
      <c r="H66" s="162">
        <f t="shared" si="37"/>
        <v>587.82999999999993</v>
      </c>
      <c r="I66" s="162">
        <f t="shared" si="37"/>
        <v>595.29999999999995</v>
      </c>
      <c r="J66" s="162">
        <f t="shared" si="37"/>
        <v>599.68999999999994</v>
      </c>
      <c r="K66" s="162">
        <f t="shared" si="37"/>
        <v>607.26</v>
      </c>
      <c r="L66" s="162">
        <f t="shared" si="37"/>
        <v>614.37</v>
      </c>
      <c r="M66" s="162">
        <f t="shared" si="37"/>
        <v>620.48</v>
      </c>
      <c r="N66" s="162">
        <f t="shared" si="37"/>
        <v>623.21</v>
      </c>
      <c r="O66" s="162">
        <f t="shared" si="37"/>
        <v>628.02</v>
      </c>
      <c r="P66" s="162">
        <f t="shared" si="37"/>
        <v>630.37</v>
      </c>
      <c r="Q66" s="162">
        <f t="shared" si="37"/>
        <v>634.75</v>
      </c>
      <c r="R66" s="162">
        <f t="shared" si="37"/>
        <v>659.76</v>
      </c>
      <c r="S66" s="162">
        <f t="shared" si="37"/>
        <v>663.87</v>
      </c>
      <c r="T66" s="162">
        <f t="shared" si="37"/>
        <v>666.44</v>
      </c>
      <c r="U66" s="162">
        <f t="shared" si="37"/>
        <v>669.74</v>
      </c>
      <c r="V66" s="162">
        <f t="shared" si="37"/>
        <v>683.24</v>
      </c>
      <c r="W66" s="162">
        <f t="shared" si="37"/>
        <v>693.42</v>
      </c>
    </row>
    <row r="67" spans="1:32" x14ac:dyDescent="0.25">
      <c r="D67" s="268">
        <f>D66/C66-1</f>
        <v>6.00385962404415E-3</v>
      </c>
      <c r="E67" s="268">
        <f t="shared" ref="E67:W67" si="38">E66/D66-1</f>
        <v>2.0603907637655405E-2</v>
      </c>
      <c r="F67" s="268">
        <f t="shared" si="38"/>
        <v>1.2530455969370635E-3</v>
      </c>
      <c r="G67" s="268">
        <f t="shared" si="38"/>
        <v>1.1245915316693278E-2</v>
      </c>
      <c r="H67" s="268">
        <f t="shared" si="38"/>
        <v>1.0381752866154503E-2</v>
      </c>
      <c r="I67" s="268">
        <f t="shared" si="38"/>
        <v>1.2707755643638574E-2</v>
      </c>
      <c r="J67" s="268">
        <f t="shared" si="38"/>
        <v>7.3744330589617935E-3</v>
      </c>
      <c r="K67" s="268">
        <f t="shared" si="38"/>
        <v>1.262318864746792E-2</v>
      </c>
      <c r="L67" s="268">
        <f t="shared" si="38"/>
        <v>1.1708329216480573E-2</v>
      </c>
      <c r="M67" s="268">
        <f t="shared" si="38"/>
        <v>9.9451470612172965E-3</v>
      </c>
      <c r="N67" s="268">
        <f t="shared" si="38"/>
        <v>4.3998194945849001E-3</v>
      </c>
      <c r="O67" s="268">
        <f t="shared" si="38"/>
        <v>7.7181046517225127E-3</v>
      </c>
      <c r="P67" s="268">
        <f t="shared" si="38"/>
        <v>3.7419190471641439E-3</v>
      </c>
      <c r="Q67" s="268">
        <f t="shared" si="38"/>
        <v>6.9483002046417663E-3</v>
      </c>
      <c r="R67" s="268">
        <f t="shared" si="38"/>
        <v>3.9401339109885747E-2</v>
      </c>
      <c r="S67" s="268">
        <f t="shared" si="38"/>
        <v>6.2295380138233103E-3</v>
      </c>
      <c r="T67" s="268">
        <f t="shared" si="38"/>
        <v>3.8712398511757673E-3</v>
      </c>
      <c r="U67" s="268">
        <f t="shared" si="38"/>
        <v>4.9516835724146002E-3</v>
      </c>
      <c r="V67" s="268">
        <f t="shared" si="38"/>
        <v>2.0157075880192332E-2</v>
      </c>
      <c r="W67" s="268">
        <f t="shared" si="38"/>
        <v>1.489959604238611E-2</v>
      </c>
    </row>
    <row r="69" spans="1:32" ht="15.75" x14ac:dyDescent="0.25">
      <c r="A69" s="81" t="s">
        <v>94</v>
      </c>
      <c r="B69" s="82" t="s">
        <v>88</v>
      </c>
      <c r="C69" s="82">
        <v>2000</v>
      </c>
      <c r="D69" s="82">
        <v>2001</v>
      </c>
      <c r="E69" s="82">
        <v>2002</v>
      </c>
      <c r="F69" s="82">
        <v>2003</v>
      </c>
      <c r="G69" s="82">
        <v>2004</v>
      </c>
      <c r="H69" s="82">
        <v>2005</v>
      </c>
      <c r="I69" s="82">
        <v>2006</v>
      </c>
      <c r="J69" s="82">
        <v>2007</v>
      </c>
      <c r="K69" s="82">
        <v>2008</v>
      </c>
      <c r="L69" s="82">
        <v>2009</v>
      </c>
      <c r="M69" s="82">
        <v>2010</v>
      </c>
      <c r="N69" s="82">
        <v>2011</v>
      </c>
      <c r="O69" s="82">
        <v>2012</v>
      </c>
      <c r="P69" s="82">
        <v>2013</v>
      </c>
      <c r="Q69" s="82">
        <v>2014</v>
      </c>
      <c r="R69" s="82">
        <v>2015</v>
      </c>
      <c r="S69" s="82">
        <v>2016</v>
      </c>
      <c r="T69" s="82">
        <v>2017</v>
      </c>
      <c r="U69" s="82">
        <v>2018</v>
      </c>
      <c r="V69" s="82">
        <v>2019</v>
      </c>
      <c r="W69" s="82">
        <v>2020</v>
      </c>
      <c r="X69" s="83" t="s">
        <v>89</v>
      </c>
    </row>
    <row r="70" spans="1:32" x14ac:dyDescent="0.25">
      <c r="A70" s="70" t="s">
        <v>49</v>
      </c>
      <c r="B70" s="26">
        <f>B44/$Y$44</f>
        <v>0.96365088875574201</v>
      </c>
      <c r="C70" s="26">
        <f t="shared" ref="C70:W70" si="39">C44/$Y$44</f>
        <v>0</v>
      </c>
      <c r="D70" s="26">
        <f t="shared" si="39"/>
        <v>0</v>
      </c>
      <c r="E70" s="26">
        <f t="shared" si="39"/>
        <v>1.4280007988815657E-2</v>
      </c>
      <c r="F70" s="26">
        <f t="shared" si="39"/>
        <v>0</v>
      </c>
      <c r="G70" s="26">
        <f t="shared" si="39"/>
        <v>0</v>
      </c>
      <c r="H70" s="26">
        <f t="shared" si="39"/>
        <v>8.4881166367086081E-3</v>
      </c>
      <c r="I70" s="26">
        <f t="shared" si="39"/>
        <v>0</v>
      </c>
      <c r="J70" s="26">
        <f t="shared" si="39"/>
        <v>2.1969243059716398E-3</v>
      </c>
      <c r="K70" s="26">
        <f t="shared" si="39"/>
        <v>6.0914719392850007E-3</v>
      </c>
      <c r="L70" s="26">
        <f t="shared" si="39"/>
        <v>0</v>
      </c>
      <c r="M70" s="26">
        <f t="shared" si="39"/>
        <v>0</v>
      </c>
      <c r="N70" s="26">
        <f t="shared" si="39"/>
        <v>0</v>
      </c>
      <c r="O70" s="26">
        <f t="shared" si="39"/>
        <v>0</v>
      </c>
      <c r="P70" s="26">
        <f t="shared" si="39"/>
        <v>0</v>
      </c>
      <c r="Q70" s="26">
        <f t="shared" si="39"/>
        <v>0</v>
      </c>
      <c r="R70" s="26">
        <f t="shared" si="39"/>
        <v>3.3952466546834435E-3</v>
      </c>
      <c r="S70" s="26">
        <f t="shared" si="39"/>
        <v>0</v>
      </c>
      <c r="T70" s="26">
        <f t="shared" si="39"/>
        <v>0</v>
      </c>
      <c r="U70" s="26">
        <f t="shared" si="39"/>
        <v>0</v>
      </c>
      <c r="V70" s="26">
        <f t="shared" si="39"/>
        <v>0</v>
      </c>
      <c r="W70" s="26">
        <f t="shared" si="39"/>
        <v>0</v>
      </c>
      <c r="X70" s="52">
        <f>X44/Y44</f>
        <v>1.8973437187936888E-3</v>
      </c>
    </row>
    <row r="71" spans="1:32" x14ac:dyDescent="0.25">
      <c r="A71" s="70" t="s">
        <v>60</v>
      </c>
      <c r="B71" s="26">
        <f>B51/$Y$51</f>
        <v>0.69870366619404489</v>
      </c>
      <c r="C71" s="26">
        <f t="shared" ref="C71:W71" si="40">C51/$Y$51</f>
        <v>3.0484099655661331E-2</v>
      </c>
      <c r="D71" s="26">
        <f t="shared" si="40"/>
        <v>0</v>
      </c>
      <c r="E71" s="26">
        <f t="shared" si="40"/>
        <v>0</v>
      </c>
      <c r="F71" s="26">
        <f t="shared" si="40"/>
        <v>2.8357302005266355E-3</v>
      </c>
      <c r="G71" s="26">
        <f t="shared" si="40"/>
        <v>1.9242454932145027E-3</v>
      </c>
      <c r="H71" s="26">
        <f t="shared" si="40"/>
        <v>8.5071906015799052E-3</v>
      </c>
      <c r="I71" s="26">
        <f t="shared" si="40"/>
        <v>0</v>
      </c>
      <c r="J71" s="26">
        <f t="shared" si="40"/>
        <v>0</v>
      </c>
      <c r="K71" s="26">
        <f t="shared" si="40"/>
        <v>5.5701843224630343E-3</v>
      </c>
      <c r="L71" s="26">
        <f t="shared" si="40"/>
        <v>1.4279927081223413E-2</v>
      </c>
      <c r="M71" s="26">
        <f t="shared" si="40"/>
        <v>6.3803929511849298E-3</v>
      </c>
      <c r="N71" s="26">
        <f t="shared" si="40"/>
        <v>1.9242454932145027E-3</v>
      </c>
      <c r="O71" s="26">
        <f t="shared" si="40"/>
        <v>2.5319019647559245E-3</v>
      </c>
      <c r="P71" s="26">
        <f t="shared" si="40"/>
        <v>0</v>
      </c>
      <c r="Q71" s="26">
        <f t="shared" si="40"/>
        <v>8.3046384443994318E-3</v>
      </c>
      <c r="R71" s="26">
        <f t="shared" si="40"/>
        <v>2.5825400040510427E-2</v>
      </c>
      <c r="S71" s="26">
        <f t="shared" si="40"/>
        <v>1.1444196880696778E-2</v>
      </c>
      <c r="T71" s="26">
        <f t="shared" si="40"/>
        <v>9.1148470731213273E-3</v>
      </c>
      <c r="U71" s="26">
        <f t="shared" si="40"/>
        <v>1.8229694146242655E-3</v>
      </c>
      <c r="V71" s="26">
        <f t="shared" si="40"/>
        <v>3.1496860441563704E-2</v>
      </c>
      <c r="W71" s="26">
        <f t="shared" si="40"/>
        <v>1.974883532509621E-2</v>
      </c>
      <c r="X71" s="54">
        <f>X51/Y51</f>
        <v>0.11910066842211869</v>
      </c>
    </row>
    <row r="72" spans="1:32" x14ac:dyDescent="0.25">
      <c r="A72" s="70" t="s">
        <v>51</v>
      </c>
      <c r="B72" s="26">
        <f>B55/$Y$55</f>
        <v>0.69680610716069313</v>
      </c>
      <c r="C72" s="26">
        <f t="shared" ref="C72:W72" si="41">C55/$Y$55</f>
        <v>4.7397084353967972E-2</v>
      </c>
      <c r="D72" s="26">
        <f t="shared" si="41"/>
        <v>7.9906775428666525E-3</v>
      </c>
      <c r="E72" s="26">
        <f t="shared" si="41"/>
        <v>2.4186068634212458E-2</v>
      </c>
      <c r="F72" s="26">
        <f t="shared" si="41"/>
        <v>1.0463982496611093E-3</v>
      </c>
      <c r="G72" s="26">
        <f t="shared" si="41"/>
        <v>1.4649575495255531E-2</v>
      </c>
      <c r="H72" s="26">
        <f t="shared" si="41"/>
        <v>1.0345073604604148E-2</v>
      </c>
      <c r="I72" s="26">
        <f t="shared" si="41"/>
        <v>1.7764988465837468E-2</v>
      </c>
      <c r="J72" s="26">
        <f t="shared" si="41"/>
        <v>9.9170015933791496E-3</v>
      </c>
      <c r="K72" s="26">
        <f t="shared" si="41"/>
        <v>1.5244119955290252E-2</v>
      </c>
      <c r="L72" s="26">
        <f t="shared" si="41"/>
        <v>1.3555613688791645E-2</v>
      </c>
      <c r="M72" s="26">
        <f t="shared" si="41"/>
        <v>1.2485433660729146E-2</v>
      </c>
      <c r="N72" s="26">
        <f t="shared" si="41"/>
        <v>6.0405717139527674E-3</v>
      </c>
      <c r="O72" s="26">
        <f t="shared" si="41"/>
        <v>1.0844490951033315E-2</v>
      </c>
      <c r="P72" s="26">
        <f t="shared" si="41"/>
        <v>5.5887179243263793E-3</v>
      </c>
      <c r="Q72" s="26">
        <f t="shared" si="41"/>
        <v>8.4663131108944304E-3</v>
      </c>
      <c r="R72" s="26">
        <f t="shared" si="41"/>
        <v>4.4709743394611035E-2</v>
      </c>
      <c r="S72" s="26">
        <f t="shared" si="41"/>
        <v>7.0869699636138773E-3</v>
      </c>
      <c r="T72" s="26">
        <f t="shared" si="41"/>
        <v>3.9715569930319373E-3</v>
      </c>
      <c r="U72" s="26">
        <f t="shared" si="41"/>
        <v>2.5684320673499956E-3</v>
      </c>
      <c r="V72" s="26">
        <f t="shared" si="41"/>
        <v>2.0618801874004132E-2</v>
      </c>
      <c r="W72" s="26">
        <f t="shared" si="41"/>
        <v>1.8644914266688857E-2</v>
      </c>
      <c r="X72" s="52">
        <f>X55/Y55</f>
        <v>7.134533520416655E-5</v>
      </c>
    </row>
    <row r="73" spans="1:32" x14ac:dyDescent="0.25">
      <c r="A73" s="70" t="s">
        <v>54</v>
      </c>
      <c r="B73" s="26">
        <f>B59/$Y$59</f>
        <v>0</v>
      </c>
      <c r="C73" s="26">
        <f t="shared" ref="C73:W73" si="42">C59/$Y$59</f>
        <v>0</v>
      </c>
      <c r="D73" s="26">
        <f t="shared" si="42"/>
        <v>0</v>
      </c>
      <c r="E73" s="26">
        <f t="shared" si="42"/>
        <v>0</v>
      </c>
      <c r="F73" s="26">
        <f t="shared" si="42"/>
        <v>0</v>
      </c>
      <c r="G73" s="26">
        <f t="shared" si="42"/>
        <v>0</v>
      </c>
      <c r="H73" s="26">
        <f t="shared" si="42"/>
        <v>0</v>
      </c>
      <c r="I73" s="26">
        <f t="shared" si="42"/>
        <v>0</v>
      </c>
      <c r="J73" s="26">
        <f t="shared" si="42"/>
        <v>0</v>
      </c>
      <c r="K73" s="26">
        <f t="shared" si="42"/>
        <v>0</v>
      </c>
      <c r="L73" s="26">
        <f t="shared" si="42"/>
        <v>0</v>
      </c>
      <c r="M73" s="26">
        <f t="shared" si="42"/>
        <v>0</v>
      </c>
      <c r="N73" s="26">
        <f t="shared" si="42"/>
        <v>0</v>
      </c>
      <c r="O73" s="26">
        <f t="shared" si="42"/>
        <v>0</v>
      </c>
      <c r="P73" s="26">
        <f t="shared" si="42"/>
        <v>0</v>
      </c>
      <c r="Q73" s="26">
        <f t="shared" si="42"/>
        <v>0</v>
      </c>
      <c r="R73" s="26">
        <f t="shared" si="42"/>
        <v>0</v>
      </c>
      <c r="S73" s="26">
        <f t="shared" si="42"/>
        <v>0</v>
      </c>
      <c r="T73" s="26">
        <f t="shared" si="42"/>
        <v>0</v>
      </c>
      <c r="U73" s="26">
        <f t="shared" si="42"/>
        <v>0</v>
      </c>
      <c r="V73" s="26">
        <f t="shared" si="42"/>
        <v>0</v>
      </c>
      <c r="W73" s="26">
        <f t="shared" si="42"/>
        <v>1</v>
      </c>
      <c r="X73" s="54">
        <f>X59/Y59</f>
        <v>0</v>
      </c>
    </row>
    <row r="74" spans="1:32" x14ac:dyDescent="0.25">
      <c r="A74" s="70" t="s">
        <v>75</v>
      </c>
      <c r="B74" s="26">
        <f>B61/$Y$61</f>
        <v>0.6005586592178771</v>
      </c>
      <c r="C74" s="26">
        <f t="shared" ref="C74:W74" si="43">C61/$Y$61</f>
        <v>0</v>
      </c>
      <c r="D74" s="26">
        <f t="shared" si="43"/>
        <v>0</v>
      </c>
      <c r="E74" s="26">
        <f t="shared" si="43"/>
        <v>0</v>
      </c>
      <c r="F74" s="26">
        <f t="shared" si="43"/>
        <v>0</v>
      </c>
      <c r="G74" s="26">
        <f t="shared" si="43"/>
        <v>0</v>
      </c>
      <c r="H74" s="26">
        <f t="shared" si="43"/>
        <v>0</v>
      </c>
      <c r="I74" s="26">
        <f t="shared" si="43"/>
        <v>0</v>
      </c>
      <c r="J74" s="26">
        <f t="shared" si="43"/>
        <v>0</v>
      </c>
      <c r="K74" s="26">
        <f t="shared" si="43"/>
        <v>0</v>
      </c>
      <c r="L74" s="26">
        <f t="shared" si="43"/>
        <v>0</v>
      </c>
      <c r="M74" s="26">
        <f t="shared" si="43"/>
        <v>0</v>
      </c>
      <c r="N74" s="26">
        <f t="shared" si="43"/>
        <v>0</v>
      </c>
      <c r="O74" s="26">
        <f t="shared" si="43"/>
        <v>0</v>
      </c>
      <c r="P74" s="26">
        <f t="shared" si="43"/>
        <v>0</v>
      </c>
      <c r="Q74" s="26">
        <f t="shared" si="43"/>
        <v>0</v>
      </c>
      <c r="R74" s="26">
        <f t="shared" si="43"/>
        <v>0.18547486033519553</v>
      </c>
      <c r="S74" s="26">
        <f t="shared" si="43"/>
        <v>0</v>
      </c>
      <c r="T74" s="26">
        <f t="shared" si="43"/>
        <v>0</v>
      </c>
      <c r="U74" s="26">
        <f t="shared" si="43"/>
        <v>0.11396648044692738</v>
      </c>
      <c r="V74" s="26">
        <f t="shared" si="43"/>
        <v>9.6089385474860345E-2</v>
      </c>
      <c r="W74" s="26">
        <f t="shared" si="43"/>
        <v>0</v>
      </c>
      <c r="X74" s="52">
        <f>X61/Y61</f>
        <v>3.9106145251396659E-3</v>
      </c>
    </row>
    <row r="75" spans="1:32" x14ac:dyDescent="0.25">
      <c r="A75" s="70" t="s">
        <v>56</v>
      </c>
      <c r="B75" s="26">
        <f>B63/$Y$63</f>
        <v>0.84416911482947998</v>
      </c>
      <c r="C75" s="26">
        <f t="shared" ref="C75:W75" si="44">C63/$Y$63</f>
        <v>1.74990420232469E-2</v>
      </c>
      <c r="D75" s="26">
        <f t="shared" si="44"/>
        <v>0</v>
      </c>
      <c r="E75" s="26">
        <f t="shared" si="44"/>
        <v>0</v>
      </c>
      <c r="F75" s="26">
        <f t="shared" si="44"/>
        <v>0</v>
      </c>
      <c r="G75" s="26">
        <f t="shared" si="44"/>
        <v>1.5327628049559327E-3</v>
      </c>
      <c r="H75" s="26">
        <f t="shared" si="44"/>
        <v>0</v>
      </c>
      <c r="I75" s="26">
        <f t="shared" si="44"/>
        <v>0</v>
      </c>
      <c r="J75" s="26">
        <f t="shared" si="44"/>
        <v>0</v>
      </c>
      <c r="K75" s="26">
        <f t="shared" si="44"/>
        <v>0</v>
      </c>
      <c r="L75" s="26">
        <f t="shared" si="44"/>
        <v>0</v>
      </c>
      <c r="M75" s="26">
        <f t="shared" si="44"/>
        <v>2.9377953761655379E-3</v>
      </c>
      <c r="N75" s="26">
        <f t="shared" si="44"/>
        <v>0</v>
      </c>
      <c r="O75" s="26">
        <f t="shared" si="44"/>
        <v>0</v>
      </c>
      <c r="P75" s="26">
        <f t="shared" si="44"/>
        <v>0</v>
      </c>
      <c r="Q75" s="26">
        <f t="shared" si="44"/>
        <v>0</v>
      </c>
      <c r="R75" s="26">
        <f t="shared" si="44"/>
        <v>0</v>
      </c>
      <c r="S75" s="26">
        <f t="shared" si="44"/>
        <v>0</v>
      </c>
      <c r="T75" s="26">
        <f t="shared" si="44"/>
        <v>0</v>
      </c>
      <c r="U75" s="26">
        <f t="shared" si="44"/>
        <v>0</v>
      </c>
      <c r="V75" s="26">
        <f t="shared" si="44"/>
        <v>0</v>
      </c>
      <c r="W75" s="26">
        <f t="shared" si="44"/>
        <v>0</v>
      </c>
      <c r="X75" s="54">
        <f>X63/Y63</f>
        <v>0.13386128496615146</v>
      </c>
    </row>
    <row r="76" spans="1:32" x14ac:dyDescent="0.25">
      <c r="A76" s="70" t="s">
        <v>59</v>
      </c>
      <c r="B76" s="26">
        <f>B65/$Y$65</f>
        <v>0.74771981283609168</v>
      </c>
      <c r="C76" s="26">
        <f t="shared" ref="C76:W76" si="45">C65/$Y$65</f>
        <v>3.3954885117675811E-2</v>
      </c>
      <c r="D76" s="26">
        <f t="shared" si="45"/>
        <v>4.6930651581814364E-3</v>
      </c>
      <c r="E76" s="26">
        <f t="shared" si="45"/>
        <v>1.6202248760388289E-2</v>
      </c>
      <c r="F76" s="26">
        <f t="shared" si="45"/>
        <v>1.0056568196103077E-3</v>
      </c>
      <c r="G76" s="26">
        <f t="shared" si="45"/>
        <v>9.0369439206648503E-3</v>
      </c>
      <c r="H76" s="26">
        <f t="shared" si="45"/>
        <v>8.4363433200642466E-3</v>
      </c>
      <c r="I76" s="26">
        <f t="shared" si="45"/>
        <v>1.0433689503456942E-2</v>
      </c>
      <c r="J76" s="26">
        <f t="shared" si="45"/>
        <v>6.1317131084572931E-3</v>
      </c>
      <c r="K76" s="26">
        <f t="shared" si="45"/>
        <v>1.0573364061736153E-2</v>
      </c>
      <c r="L76" s="26">
        <f t="shared" si="45"/>
        <v>9.9308610936517903E-3</v>
      </c>
      <c r="M76" s="26">
        <f t="shared" si="45"/>
        <v>8.5341155108596949E-3</v>
      </c>
      <c r="N76" s="26">
        <f t="shared" si="45"/>
        <v>3.8131154410224171E-3</v>
      </c>
      <c r="O76" s="26">
        <f t="shared" si="45"/>
        <v>6.7183462532299718E-3</v>
      </c>
      <c r="P76" s="26">
        <f t="shared" si="45"/>
        <v>3.2823521195614212E-3</v>
      </c>
      <c r="Q76" s="26">
        <f t="shared" si="45"/>
        <v>6.1177456526293724E-3</v>
      </c>
      <c r="R76" s="26">
        <f t="shared" si="45"/>
        <v>3.4932607025630273E-2</v>
      </c>
      <c r="S76" s="26">
        <f t="shared" si="45"/>
        <v>5.7406243452755058E-3</v>
      </c>
      <c r="T76" s="26">
        <f t="shared" si="45"/>
        <v>3.5896361477756817E-3</v>
      </c>
      <c r="U76" s="26">
        <f t="shared" si="45"/>
        <v>4.6092604232139105E-3</v>
      </c>
      <c r="V76" s="26">
        <f t="shared" si="45"/>
        <v>1.885606536769327E-2</v>
      </c>
      <c r="W76" s="26">
        <f t="shared" si="45"/>
        <v>1.4218870032823518E-2</v>
      </c>
      <c r="X76" s="54">
        <f>X65/Y65</f>
        <v>3.1468677980305886E-2</v>
      </c>
    </row>
  </sheetData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9"/>
  <sheetViews>
    <sheetView topLeftCell="AA28" zoomScale="80" zoomScaleNormal="80" workbookViewId="0">
      <selection activeCell="D1" sqref="D1"/>
    </sheetView>
  </sheetViews>
  <sheetFormatPr baseColWidth="10" defaultRowHeight="15" x14ac:dyDescent="0.25"/>
  <cols>
    <col min="1" max="1" width="20.42578125" customWidth="1"/>
    <col min="24" max="24" width="16" customWidth="1"/>
    <col min="25" max="26" width="16.140625" customWidth="1"/>
    <col min="28" max="28" width="21.7109375" customWidth="1"/>
    <col min="29" max="29" width="16.42578125" customWidth="1"/>
    <col min="30" max="30" width="15.42578125" customWidth="1"/>
    <col min="44" max="44" width="18.7109375" customWidth="1"/>
    <col min="46" max="46" width="15" customWidth="1"/>
    <col min="47" max="47" width="16.140625" customWidth="1"/>
  </cols>
  <sheetData>
    <row r="1" spans="1:47" x14ac:dyDescent="0.25">
      <c r="C1" s="2" t="s">
        <v>0</v>
      </c>
      <c r="D1" s="176" t="s">
        <v>1</v>
      </c>
      <c r="E1" s="2" t="s">
        <v>216</v>
      </c>
      <c r="F1" t="s">
        <v>221</v>
      </c>
    </row>
    <row r="2" spans="1:47" ht="18.75" x14ac:dyDescent="0.3">
      <c r="A2" s="39" t="s">
        <v>143</v>
      </c>
      <c r="D2" s="33"/>
      <c r="Z2" s="35"/>
    </row>
    <row r="3" spans="1:47" ht="45" customHeight="1" x14ac:dyDescent="0.25">
      <c r="A3" s="36" t="s">
        <v>2</v>
      </c>
      <c r="B3" s="37" t="s">
        <v>88</v>
      </c>
      <c r="C3" s="37">
        <v>2000</v>
      </c>
      <c r="D3" s="37">
        <v>2001</v>
      </c>
      <c r="E3" s="37">
        <v>2002</v>
      </c>
      <c r="F3" s="37">
        <v>2003</v>
      </c>
      <c r="G3" s="37">
        <v>2004</v>
      </c>
      <c r="H3" s="37">
        <v>2005</v>
      </c>
      <c r="I3" s="37">
        <v>2006</v>
      </c>
      <c r="J3" s="37">
        <v>2007</v>
      </c>
      <c r="K3" s="37">
        <v>2008</v>
      </c>
      <c r="L3" s="37">
        <v>2009</v>
      </c>
      <c r="M3" s="37">
        <v>2010</v>
      </c>
      <c r="N3" s="37">
        <v>2011</v>
      </c>
      <c r="O3" s="37">
        <v>2012</v>
      </c>
      <c r="P3" s="37">
        <v>2013</v>
      </c>
      <c r="Q3" s="37">
        <v>2014</v>
      </c>
      <c r="R3" s="37">
        <v>2015</v>
      </c>
      <c r="S3" s="37">
        <v>2016</v>
      </c>
      <c r="T3" s="37">
        <v>2017</v>
      </c>
      <c r="U3" s="37">
        <v>2018</v>
      </c>
      <c r="V3" s="37">
        <v>2019</v>
      </c>
      <c r="W3" s="37">
        <v>2020</v>
      </c>
      <c r="X3" s="36" t="s">
        <v>89</v>
      </c>
      <c r="Y3" s="36" t="s">
        <v>90</v>
      </c>
      <c r="Z3" s="150" t="s">
        <v>91</v>
      </c>
      <c r="AB3" s="196" t="s">
        <v>250</v>
      </c>
      <c r="AC3" s="196" t="s">
        <v>251</v>
      </c>
      <c r="AD3" s="196" t="s">
        <v>252</v>
      </c>
      <c r="AE3" s="196" t="s">
        <v>103</v>
      </c>
      <c r="AF3" s="196" t="s">
        <v>254</v>
      </c>
      <c r="AS3" s="251" t="s">
        <v>291</v>
      </c>
      <c r="AT3" s="251" t="s">
        <v>103</v>
      </c>
      <c r="AU3" s="251" t="s">
        <v>292</v>
      </c>
    </row>
    <row r="4" spans="1:47" x14ac:dyDescent="0.25">
      <c r="A4" s="44" t="s">
        <v>49</v>
      </c>
      <c r="B4" s="152">
        <f>SUM(B5:B12)</f>
        <v>315.11000000000007</v>
      </c>
      <c r="C4" s="152">
        <f t="shared" ref="C4:Y4" si="0">SUM(C5:C12)</f>
        <v>26.399999999999995</v>
      </c>
      <c r="D4" s="152">
        <f t="shared" si="0"/>
        <v>5.81</v>
      </c>
      <c r="E4" s="152">
        <f t="shared" si="0"/>
        <v>11.85</v>
      </c>
      <c r="F4" s="152">
        <f t="shared" si="0"/>
        <v>1.1600000000000001</v>
      </c>
      <c r="G4" s="152">
        <f t="shared" si="0"/>
        <v>13.45</v>
      </c>
      <c r="H4" s="152">
        <f t="shared" si="0"/>
        <v>14.069999999999999</v>
      </c>
      <c r="I4" s="152">
        <f t="shared" si="0"/>
        <v>106.28</v>
      </c>
      <c r="J4" s="152">
        <f t="shared" si="0"/>
        <v>6.2600000000000007</v>
      </c>
      <c r="K4" s="152">
        <f t="shared" si="0"/>
        <v>11.870000000000001</v>
      </c>
      <c r="L4" s="152">
        <f t="shared" si="0"/>
        <v>6.620000000000001</v>
      </c>
      <c r="M4" s="152">
        <f t="shared" si="0"/>
        <v>29.21</v>
      </c>
      <c r="N4" s="152">
        <f t="shared" si="0"/>
        <v>17.14</v>
      </c>
      <c r="O4" s="152">
        <f t="shared" si="0"/>
        <v>41.35</v>
      </c>
      <c r="P4" s="152">
        <f t="shared" si="0"/>
        <v>33.11</v>
      </c>
      <c r="Q4" s="152">
        <f t="shared" si="0"/>
        <v>30.17</v>
      </c>
      <c r="R4" s="152">
        <f t="shared" si="0"/>
        <v>113.36</v>
      </c>
      <c r="S4" s="152">
        <f t="shared" si="0"/>
        <v>115.59000000000002</v>
      </c>
      <c r="T4" s="152">
        <f t="shared" si="0"/>
        <v>169.94</v>
      </c>
      <c r="U4" s="152">
        <f t="shared" si="0"/>
        <v>104.5</v>
      </c>
      <c r="V4" s="152">
        <f t="shared" si="0"/>
        <v>52.220000000000006</v>
      </c>
      <c r="W4" s="152">
        <f t="shared" si="0"/>
        <v>105.65</v>
      </c>
      <c r="X4" s="152">
        <f t="shared" si="0"/>
        <v>1.22</v>
      </c>
      <c r="Y4" s="152">
        <f t="shared" si="0"/>
        <v>1332.34</v>
      </c>
      <c r="Z4" s="46">
        <f t="shared" ref="Z4:Z51" si="1">Y4/$Y$68</f>
        <v>0.13949115472761672</v>
      </c>
      <c r="AB4" s="152">
        <f>SUM(B4:S4)</f>
        <v>898.81000000000017</v>
      </c>
      <c r="AC4" s="152">
        <f>SUM(T4:W4)</f>
        <v>432.31000000000006</v>
      </c>
      <c r="AD4" s="152">
        <f>X4</f>
        <v>1.22</v>
      </c>
      <c r="AE4" s="152">
        <f>SUM(AB4:AD4)</f>
        <v>1332.3400000000004</v>
      </c>
      <c r="AF4" s="46">
        <f>AC4/AE4</f>
        <v>0.32447423330381131</v>
      </c>
      <c r="AR4" s="44" t="s">
        <v>54</v>
      </c>
      <c r="AS4" s="162">
        <f>AC46</f>
        <v>710.94999999999993</v>
      </c>
      <c r="AT4" s="162">
        <f>AE46</f>
        <v>2366.79</v>
      </c>
      <c r="AU4" s="249">
        <f>AS4/AT4</f>
        <v>0.30038575454518562</v>
      </c>
    </row>
    <row r="5" spans="1:47" x14ac:dyDescent="0.25">
      <c r="A5" s="13" t="s">
        <v>11</v>
      </c>
      <c r="B5" s="153">
        <v>0.39999999999999997</v>
      </c>
      <c r="C5" s="153">
        <v>0.57999999999999996</v>
      </c>
      <c r="D5" s="153"/>
      <c r="E5" s="153"/>
      <c r="F5" s="153"/>
      <c r="G5" s="153"/>
      <c r="H5" s="153">
        <v>3.36</v>
      </c>
      <c r="I5" s="153">
        <v>0.13</v>
      </c>
      <c r="J5" s="153"/>
      <c r="K5" s="153"/>
      <c r="L5" s="153"/>
      <c r="M5" s="153">
        <v>0.78</v>
      </c>
      <c r="N5" s="153"/>
      <c r="O5" s="153"/>
      <c r="P5" s="153">
        <v>1.29</v>
      </c>
      <c r="Q5" s="153"/>
      <c r="R5" s="153"/>
      <c r="S5" s="153"/>
      <c r="T5" s="153"/>
      <c r="U5" s="153"/>
      <c r="V5" s="153"/>
      <c r="W5" s="153"/>
      <c r="X5" s="153">
        <v>0.04</v>
      </c>
      <c r="Y5" s="153">
        <v>6.58</v>
      </c>
      <c r="Z5" s="26">
        <f t="shared" si="1"/>
        <v>6.8890208063085857E-4</v>
      </c>
      <c r="AB5" s="153">
        <f t="shared" ref="AB5:AB68" si="2">SUM(B5:S5)</f>
        <v>6.54</v>
      </c>
      <c r="AC5" s="153">
        <f t="shared" ref="AC5:AC68" si="3">SUM(T5:W5)</f>
        <v>0</v>
      </c>
      <c r="AD5" s="153">
        <f t="shared" ref="AD5:AD68" si="4">X5</f>
        <v>0.04</v>
      </c>
      <c r="AE5" s="153">
        <f t="shared" ref="AE5:AE68" si="5">SUM(AB5:AD5)</f>
        <v>6.58</v>
      </c>
      <c r="AF5" s="26">
        <f t="shared" ref="AF5:AF67" si="6">AC5/AE5</f>
        <v>0</v>
      </c>
      <c r="AR5" s="44" t="s">
        <v>50</v>
      </c>
      <c r="AS5" s="162">
        <f>AC13</f>
        <v>512.9</v>
      </c>
      <c r="AT5" s="162">
        <f>AE13</f>
        <v>1095.4599999999998</v>
      </c>
      <c r="AU5" s="249">
        <f t="shared" ref="AU5:AU8" si="7">AS5/AT5</f>
        <v>0.46820513756777982</v>
      </c>
    </row>
    <row r="6" spans="1:47" x14ac:dyDescent="0.25">
      <c r="A6" s="13" t="s">
        <v>12</v>
      </c>
      <c r="B6" s="153"/>
      <c r="C6" s="153"/>
      <c r="D6" s="153"/>
      <c r="E6" s="153"/>
      <c r="F6" s="153"/>
      <c r="G6" s="153">
        <v>2.54</v>
      </c>
      <c r="H6" s="153"/>
      <c r="I6" s="153"/>
      <c r="J6" s="153"/>
      <c r="K6" s="153"/>
      <c r="L6" s="153"/>
      <c r="M6" s="153"/>
      <c r="N6" s="153"/>
      <c r="O6" s="153"/>
      <c r="P6" s="153"/>
      <c r="Q6" s="153">
        <v>1.1000000000000001</v>
      </c>
      <c r="R6" s="153"/>
      <c r="S6" s="153">
        <v>3.08</v>
      </c>
      <c r="T6" s="153">
        <v>0.14000000000000001</v>
      </c>
      <c r="U6" s="153">
        <v>4.4399999999999995</v>
      </c>
      <c r="V6" s="153"/>
      <c r="W6" s="153"/>
      <c r="X6" s="153"/>
      <c r="Y6" s="153">
        <v>11.3</v>
      </c>
      <c r="Z6" s="26">
        <f t="shared" si="1"/>
        <v>1.1830689226639364E-3</v>
      </c>
      <c r="AB6" s="153">
        <f t="shared" si="2"/>
        <v>6.7200000000000006</v>
      </c>
      <c r="AC6" s="153">
        <f t="shared" si="3"/>
        <v>4.5799999999999992</v>
      </c>
      <c r="AD6" s="153">
        <f t="shared" si="4"/>
        <v>0</v>
      </c>
      <c r="AE6" s="153">
        <f t="shared" si="5"/>
        <v>11.3</v>
      </c>
      <c r="AF6" s="26">
        <f t="shared" si="6"/>
        <v>0.40530973451327423</v>
      </c>
      <c r="AR6" s="44" t="s">
        <v>49</v>
      </c>
      <c r="AS6" s="162">
        <f>AC4</f>
        <v>432.31000000000006</v>
      </c>
      <c r="AT6" s="162">
        <f>AE4</f>
        <v>1332.3400000000004</v>
      </c>
      <c r="AU6" s="249">
        <f t="shared" si="7"/>
        <v>0.32447423330381131</v>
      </c>
    </row>
    <row r="7" spans="1:47" x14ac:dyDescent="0.25">
      <c r="A7" s="13" t="s">
        <v>13</v>
      </c>
      <c r="B7" s="153">
        <v>1.7000000000000002</v>
      </c>
      <c r="C7" s="153"/>
      <c r="D7" s="153"/>
      <c r="E7" s="153">
        <v>2.91</v>
      </c>
      <c r="F7" s="153"/>
      <c r="G7" s="153"/>
      <c r="H7" s="153">
        <v>4.5299999999999994</v>
      </c>
      <c r="I7" s="153"/>
      <c r="J7" s="153"/>
      <c r="K7" s="153"/>
      <c r="L7" s="153"/>
      <c r="M7" s="153"/>
      <c r="N7" s="153"/>
      <c r="O7" s="153"/>
      <c r="P7" s="153"/>
      <c r="Q7" s="153">
        <v>5.63</v>
      </c>
      <c r="R7" s="153">
        <v>99.539999999999992</v>
      </c>
      <c r="S7" s="153">
        <v>84.88000000000001</v>
      </c>
      <c r="T7" s="153">
        <v>119.60000000000001</v>
      </c>
      <c r="U7" s="153">
        <v>28.8</v>
      </c>
      <c r="V7" s="153"/>
      <c r="W7" s="153">
        <v>14.07</v>
      </c>
      <c r="X7" s="153"/>
      <c r="Y7" s="153">
        <v>361.66</v>
      </c>
      <c r="Z7" s="26">
        <f t="shared" si="1"/>
        <v>3.7864487307136215E-2</v>
      </c>
      <c r="AB7" s="153">
        <f t="shared" si="2"/>
        <v>199.19</v>
      </c>
      <c r="AC7" s="153">
        <f t="shared" si="3"/>
        <v>162.47</v>
      </c>
      <c r="AD7" s="153">
        <f t="shared" si="4"/>
        <v>0</v>
      </c>
      <c r="AE7" s="153">
        <f t="shared" si="5"/>
        <v>361.65999999999997</v>
      </c>
      <c r="AF7" s="26">
        <f t="shared" si="6"/>
        <v>0.44923408726428138</v>
      </c>
      <c r="AR7" s="44" t="s">
        <v>52</v>
      </c>
      <c r="AS7" s="162">
        <f>AC33</f>
        <v>407.92999999999995</v>
      </c>
      <c r="AT7" s="162">
        <f>AE33</f>
        <v>1762.77</v>
      </c>
      <c r="AU7" s="249">
        <f t="shared" si="7"/>
        <v>0.23141419470492461</v>
      </c>
    </row>
    <row r="8" spans="1:47" x14ac:dyDescent="0.25">
      <c r="A8" s="13" t="s">
        <v>14</v>
      </c>
      <c r="B8" s="153">
        <v>103.72000000000001</v>
      </c>
      <c r="C8" s="153">
        <v>20.509999999999998</v>
      </c>
      <c r="D8" s="153">
        <v>5.0599999999999996</v>
      </c>
      <c r="E8" s="153">
        <v>4.42</v>
      </c>
      <c r="F8" s="153">
        <v>1.03</v>
      </c>
      <c r="G8" s="153">
        <v>0.82000000000000006</v>
      </c>
      <c r="H8" s="153">
        <v>4.4800000000000004</v>
      </c>
      <c r="I8" s="153">
        <v>102.43</v>
      </c>
      <c r="J8" s="153">
        <v>0.13</v>
      </c>
      <c r="K8" s="153">
        <v>0.56000000000000005</v>
      </c>
      <c r="L8" s="153">
        <v>0.04</v>
      </c>
      <c r="M8" s="153">
        <v>3.7700000000000005</v>
      </c>
      <c r="N8" s="153">
        <v>2.2999999999999998</v>
      </c>
      <c r="O8" s="153">
        <v>27.150000000000002</v>
      </c>
      <c r="P8" s="153">
        <v>27.82</v>
      </c>
      <c r="Q8" s="153">
        <v>18.489999999999998</v>
      </c>
      <c r="R8" s="153">
        <v>6.93</v>
      </c>
      <c r="S8" s="153">
        <v>2.08</v>
      </c>
      <c r="T8" s="153">
        <v>33.620000000000005</v>
      </c>
      <c r="U8" s="153">
        <v>49.35</v>
      </c>
      <c r="V8" s="153">
        <v>3.46</v>
      </c>
      <c r="W8" s="153">
        <v>6.21</v>
      </c>
      <c r="X8" s="153">
        <v>0.36</v>
      </c>
      <c r="Y8" s="153">
        <v>424.74</v>
      </c>
      <c r="Z8" s="26">
        <f t="shared" si="1"/>
        <v>4.4468734001086759E-2</v>
      </c>
      <c r="AB8" s="153">
        <f t="shared" si="2"/>
        <v>331.74</v>
      </c>
      <c r="AC8" s="153">
        <f t="shared" si="3"/>
        <v>92.639999999999986</v>
      </c>
      <c r="AD8" s="153">
        <f t="shared" si="4"/>
        <v>0.36</v>
      </c>
      <c r="AE8" s="153">
        <f t="shared" si="5"/>
        <v>424.74</v>
      </c>
      <c r="AF8" s="26">
        <f t="shared" si="6"/>
        <v>0.21810990252860571</v>
      </c>
      <c r="AR8" s="44" t="s">
        <v>51</v>
      </c>
      <c r="AS8" s="162">
        <f>AC41</f>
        <v>210.85000000000002</v>
      </c>
      <c r="AT8" s="162">
        <f>AE41</f>
        <v>1177.9599999999998</v>
      </c>
      <c r="AU8" s="249">
        <f t="shared" si="7"/>
        <v>0.17899589120173864</v>
      </c>
    </row>
    <row r="9" spans="1:47" x14ac:dyDescent="0.25">
      <c r="A9" s="13" t="s">
        <v>15</v>
      </c>
      <c r="B9" s="153">
        <v>5.0600000000000005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>
        <v>3.12</v>
      </c>
      <c r="V9" s="153">
        <v>11.1</v>
      </c>
      <c r="W9" s="153"/>
      <c r="X9" s="153"/>
      <c r="Y9" s="153">
        <v>19.28</v>
      </c>
      <c r="Z9" s="26">
        <f t="shared" si="1"/>
        <v>2.018545914067318E-3</v>
      </c>
      <c r="AB9" s="153">
        <f t="shared" si="2"/>
        <v>5.0600000000000005</v>
      </c>
      <c r="AC9" s="153">
        <f t="shared" si="3"/>
        <v>14.219999999999999</v>
      </c>
      <c r="AD9" s="153">
        <f t="shared" si="4"/>
        <v>0</v>
      </c>
      <c r="AE9" s="153">
        <f t="shared" si="5"/>
        <v>19.28</v>
      </c>
      <c r="AF9" s="26">
        <f t="shared" si="6"/>
        <v>0.73755186721991695</v>
      </c>
      <c r="AR9" s="44"/>
      <c r="AS9" s="162"/>
      <c r="AT9" s="162"/>
      <c r="AU9" s="249"/>
    </row>
    <row r="10" spans="1:47" x14ac:dyDescent="0.25">
      <c r="A10" s="13" t="s">
        <v>16</v>
      </c>
      <c r="B10" s="153">
        <v>41.720000000000006</v>
      </c>
      <c r="C10" s="153"/>
      <c r="D10" s="153"/>
      <c r="E10" s="153"/>
      <c r="F10" s="153">
        <v>0.13</v>
      </c>
      <c r="G10" s="153">
        <v>3.59</v>
      </c>
      <c r="H10" s="153">
        <v>1.67</v>
      </c>
      <c r="I10" s="153">
        <v>0.33</v>
      </c>
      <c r="J10" s="153">
        <v>3.66</v>
      </c>
      <c r="K10" s="153">
        <v>10.81</v>
      </c>
      <c r="L10" s="153"/>
      <c r="M10" s="153">
        <v>1.9</v>
      </c>
      <c r="N10" s="153"/>
      <c r="O10" s="153">
        <v>3.79</v>
      </c>
      <c r="P10" s="153">
        <v>2.33</v>
      </c>
      <c r="Q10" s="153">
        <v>0.39</v>
      </c>
      <c r="R10" s="153">
        <v>6.68</v>
      </c>
      <c r="S10" s="153">
        <v>4.37</v>
      </c>
      <c r="T10" s="153"/>
      <c r="U10" s="153">
        <v>5.4</v>
      </c>
      <c r="V10" s="153"/>
      <c r="W10" s="153">
        <v>0.71</v>
      </c>
      <c r="X10" s="153">
        <v>0.03</v>
      </c>
      <c r="Y10" s="153">
        <v>87.51</v>
      </c>
      <c r="Z10" s="26">
        <f t="shared" si="1"/>
        <v>9.1619788869310697E-3</v>
      </c>
      <c r="AB10" s="153">
        <f t="shared" si="2"/>
        <v>81.37</v>
      </c>
      <c r="AC10" s="153">
        <f t="shared" si="3"/>
        <v>6.11</v>
      </c>
      <c r="AD10" s="153">
        <f t="shared" si="4"/>
        <v>0.03</v>
      </c>
      <c r="AE10" s="153">
        <f t="shared" si="5"/>
        <v>87.51</v>
      </c>
      <c r="AF10" s="26">
        <f t="shared" si="6"/>
        <v>6.9820591932350587E-2</v>
      </c>
    </row>
    <row r="11" spans="1:47" x14ac:dyDescent="0.25">
      <c r="A11" s="13" t="s">
        <v>17</v>
      </c>
      <c r="B11" s="153">
        <v>162.02000000000004</v>
      </c>
      <c r="C11" s="153">
        <v>5.31</v>
      </c>
      <c r="D11" s="153">
        <v>0.75</v>
      </c>
      <c r="E11" s="153">
        <v>4.5199999999999996</v>
      </c>
      <c r="F11" s="153"/>
      <c r="G11" s="153">
        <v>6.5</v>
      </c>
      <c r="H11" s="153">
        <v>0.03</v>
      </c>
      <c r="I11" s="153">
        <v>3.39</v>
      </c>
      <c r="J11" s="153">
        <v>0.77</v>
      </c>
      <c r="K11" s="153">
        <v>0.5</v>
      </c>
      <c r="L11" s="153">
        <v>4.3900000000000006</v>
      </c>
      <c r="M11" s="153">
        <v>22.76</v>
      </c>
      <c r="N11" s="153">
        <v>14.84</v>
      </c>
      <c r="O11" s="153">
        <v>10.41</v>
      </c>
      <c r="P11" s="153">
        <v>1.3199999999999998</v>
      </c>
      <c r="Q11" s="153">
        <v>4.21</v>
      </c>
      <c r="R11" s="153">
        <v>0.21</v>
      </c>
      <c r="S11" s="153">
        <v>7.4</v>
      </c>
      <c r="T11" s="153">
        <v>3.38</v>
      </c>
      <c r="U11" s="153">
        <v>12.29</v>
      </c>
      <c r="V11" s="153">
        <v>31.700000000000003</v>
      </c>
      <c r="W11" s="153">
        <v>3</v>
      </c>
      <c r="X11" s="153">
        <v>0.76</v>
      </c>
      <c r="Y11" s="153">
        <v>300.46000000000004</v>
      </c>
      <c r="Z11" s="26">
        <f t="shared" si="1"/>
        <v>3.1457069779080207E-2</v>
      </c>
      <c r="AB11" s="153">
        <f t="shared" si="2"/>
        <v>249.33000000000007</v>
      </c>
      <c r="AC11" s="153">
        <f t="shared" si="3"/>
        <v>50.370000000000005</v>
      </c>
      <c r="AD11" s="153">
        <f t="shared" si="4"/>
        <v>0.76</v>
      </c>
      <c r="AE11" s="153">
        <f t="shared" si="5"/>
        <v>300.46000000000004</v>
      </c>
      <c r="AF11" s="26">
        <f t="shared" si="6"/>
        <v>0.16764294748052985</v>
      </c>
    </row>
    <row r="12" spans="1:47" x14ac:dyDescent="0.25">
      <c r="A12" s="13" t="s">
        <v>18</v>
      </c>
      <c r="B12" s="153">
        <v>0.49</v>
      </c>
      <c r="C12" s="153"/>
      <c r="D12" s="153"/>
      <c r="E12" s="153"/>
      <c r="F12" s="153"/>
      <c r="G12" s="153"/>
      <c r="H12" s="153"/>
      <c r="I12" s="153"/>
      <c r="J12" s="153">
        <v>1.7</v>
      </c>
      <c r="K12" s="153"/>
      <c r="L12" s="153">
        <v>2.19</v>
      </c>
      <c r="M12" s="153"/>
      <c r="N12" s="153"/>
      <c r="O12" s="153"/>
      <c r="P12" s="153">
        <v>0.35</v>
      </c>
      <c r="Q12" s="153">
        <v>0.35</v>
      </c>
      <c r="R12" s="153"/>
      <c r="S12" s="153">
        <v>13.78</v>
      </c>
      <c r="T12" s="153">
        <v>13.2</v>
      </c>
      <c r="U12" s="153">
        <v>1.1000000000000001</v>
      </c>
      <c r="V12" s="153">
        <v>5.96</v>
      </c>
      <c r="W12" s="153">
        <v>81.66</v>
      </c>
      <c r="X12" s="153">
        <v>0.03</v>
      </c>
      <c r="Y12" s="153">
        <v>120.81</v>
      </c>
      <c r="Z12" s="26">
        <f t="shared" si="1"/>
        <v>1.2648367836020368E-2</v>
      </c>
      <c r="AB12" s="153">
        <f t="shared" si="2"/>
        <v>18.86</v>
      </c>
      <c r="AC12" s="153">
        <f t="shared" si="3"/>
        <v>101.91999999999999</v>
      </c>
      <c r="AD12" s="153">
        <f t="shared" si="4"/>
        <v>0.03</v>
      </c>
      <c r="AE12" s="153">
        <f t="shared" si="5"/>
        <v>120.80999999999999</v>
      </c>
      <c r="AF12" s="26">
        <f t="shared" si="6"/>
        <v>0.84363877162486545</v>
      </c>
    </row>
    <row r="13" spans="1:47" x14ac:dyDescent="0.25">
      <c r="A13" s="44" t="s">
        <v>50</v>
      </c>
      <c r="B13" s="152">
        <f>SUM(B14:B16)</f>
        <v>86.289999999999992</v>
      </c>
      <c r="C13" s="152">
        <f t="shared" ref="C13:Y13" si="8">SUM(C14:C16)</f>
        <v>12.309999999999999</v>
      </c>
      <c r="D13" s="152">
        <f t="shared" si="8"/>
        <v>3.69</v>
      </c>
      <c r="E13" s="152">
        <f t="shared" si="8"/>
        <v>10.53</v>
      </c>
      <c r="F13" s="152">
        <f t="shared" si="8"/>
        <v>1.53</v>
      </c>
      <c r="G13" s="152">
        <f t="shared" si="8"/>
        <v>6.94</v>
      </c>
      <c r="H13" s="152">
        <f t="shared" si="8"/>
        <v>24.79</v>
      </c>
      <c r="I13" s="152">
        <f t="shared" si="8"/>
        <v>30.129999999999995</v>
      </c>
      <c r="J13" s="152">
        <f t="shared" si="8"/>
        <v>9.5</v>
      </c>
      <c r="K13" s="152">
        <f t="shared" si="8"/>
        <v>10.51</v>
      </c>
      <c r="L13" s="152">
        <f t="shared" si="8"/>
        <v>19.260000000000002</v>
      </c>
      <c r="M13" s="152">
        <f t="shared" si="8"/>
        <v>14.14</v>
      </c>
      <c r="N13" s="152">
        <f t="shared" si="8"/>
        <v>12.34</v>
      </c>
      <c r="O13" s="152">
        <f t="shared" si="8"/>
        <v>12.7</v>
      </c>
      <c r="P13" s="152">
        <f t="shared" si="8"/>
        <v>4.8600000000000003</v>
      </c>
      <c r="Q13" s="152">
        <f t="shared" si="8"/>
        <v>76.25</v>
      </c>
      <c r="R13" s="152">
        <f t="shared" si="8"/>
        <v>19.02</v>
      </c>
      <c r="S13" s="152">
        <f t="shared" si="8"/>
        <v>222.9</v>
      </c>
      <c r="T13" s="152">
        <f t="shared" si="8"/>
        <v>102.54</v>
      </c>
      <c r="U13" s="152">
        <f t="shared" si="8"/>
        <v>159.07</v>
      </c>
      <c r="V13" s="152">
        <f t="shared" si="8"/>
        <v>204.99</v>
      </c>
      <c r="W13" s="152">
        <f t="shared" si="8"/>
        <v>46.3</v>
      </c>
      <c r="X13" s="152">
        <f t="shared" si="8"/>
        <v>4.870000000000001</v>
      </c>
      <c r="Y13" s="152">
        <f t="shared" si="8"/>
        <v>1095.46</v>
      </c>
      <c r="Z13" s="46">
        <f t="shared" si="1"/>
        <v>0.11469067982490583</v>
      </c>
      <c r="AB13" s="152">
        <f t="shared" si="2"/>
        <v>577.68999999999994</v>
      </c>
      <c r="AC13" s="152">
        <f t="shared" si="3"/>
        <v>512.9</v>
      </c>
      <c r="AD13" s="152">
        <f t="shared" si="4"/>
        <v>4.870000000000001</v>
      </c>
      <c r="AE13" s="152">
        <f t="shared" si="5"/>
        <v>1095.4599999999998</v>
      </c>
      <c r="AF13" s="46">
        <f t="shared" si="6"/>
        <v>0.46820513756777982</v>
      </c>
    </row>
    <row r="14" spans="1:47" x14ac:dyDescent="0.25">
      <c r="A14" s="13" t="s">
        <v>19</v>
      </c>
      <c r="B14" s="153">
        <v>12.05</v>
      </c>
      <c r="C14" s="153">
        <v>1.02</v>
      </c>
      <c r="D14" s="153"/>
      <c r="E14" s="153">
        <v>0.24</v>
      </c>
      <c r="F14" s="153"/>
      <c r="G14" s="153">
        <v>0.56000000000000005</v>
      </c>
      <c r="H14" s="153">
        <v>18.46</v>
      </c>
      <c r="I14" s="153">
        <v>26.549999999999997</v>
      </c>
      <c r="J14" s="153">
        <v>3.6599999999999997</v>
      </c>
      <c r="K14" s="153">
        <v>3.02</v>
      </c>
      <c r="L14" s="153">
        <v>11.57</v>
      </c>
      <c r="M14" s="153">
        <v>1.79</v>
      </c>
      <c r="N14" s="153">
        <v>2.83</v>
      </c>
      <c r="O14" s="153">
        <v>5.81</v>
      </c>
      <c r="P14" s="153">
        <v>0.12</v>
      </c>
      <c r="Q14" s="153">
        <v>57.230000000000004</v>
      </c>
      <c r="R14" s="153">
        <v>6.9799999999999995</v>
      </c>
      <c r="S14" s="153">
        <v>219.97</v>
      </c>
      <c r="T14" s="153">
        <v>73.92</v>
      </c>
      <c r="U14" s="153">
        <v>126.14</v>
      </c>
      <c r="V14" s="153">
        <v>105.06000000000002</v>
      </c>
      <c r="W14" s="153">
        <v>19.559999999999999</v>
      </c>
      <c r="X14" s="153">
        <v>2.8700000000000006</v>
      </c>
      <c r="Y14" s="153">
        <v>699.41000000000008</v>
      </c>
      <c r="Z14" s="26">
        <f t="shared" si="1"/>
        <v>7.3225684531007418E-2</v>
      </c>
      <c r="AB14" s="153">
        <f t="shared" si="2"/>
        <v>371.86</v>
      </c>
      <c r="AC14" s="153">
        <f t="shared" si="3"/>
        <v>324.68</v>
      </c>
      <c r="AD14" s="153">
        <f t="shared" si="4"/>
        <v>2.8700000000000006</v>
      </c>
      <c r="AE14" s="153">
        <f t="shared" si="5"/>
        <v>699.41</v>
      </c>
      <c r="AF14" s="26">
        <f t="shared" si="6"/>
        <v>0.46421984243862685</v>
      </c>
    </row>
    <row r="15" spans="1:47" x14ac:dyDescent="0.25">
      <c r="A15" s="13" t="s">
        <v>20</v>
      </c>
      <c r="B15" s="153">
        <v>44.65</v>
      </c>
      <c r="C15" s="153">
        <v>7.2799999999999994</v>
      </c>
      <c r="D15" s="153">
        <v>3</v>
      </c>
      <c r="E15" s="153"/>
      <c r="F15" s="153">
        <v>1.02</v>
      </c>
      <c r="G15" s="153">
        <v>3.43</v>
      </c>
      <c r="H15" s="153">
        <v>4.58</v>
      </c>
      <c r="I15" s="153">
        <v>1.34</v>
      </c>
      <c r="J15" s="153">
        <v>0.44</v>
      </c>
      <c r="K15" s="153">
        <v>2.19</v>
      </c>
      <c r="L15" s="153">
        <v>4.01</v>
      </c>
      <c r="M15" s="153">
        <v>3.66</v>
      </c>
      <c r="N15" s="153">
        <v>2.8400000000000003</v>
      </c>
      <c r="O15" s="153">
        <v>1.1499999999999999</v>
      </c>
      <c r="P15" s="153">
        <v>3.49</v>
      </c>
      <c r="Q15" s="153">
        <v>16.299999999999997</v>
      </c>
      <c r="R15" s="153">
        <v>7</v>
      </c>
      <c r="S15" s="153">
        <v>1.84</v>
      </c>
      <c r="T15" s="153">
        <v>2.64</v>
      </c>
      <c r="U15" s="153">
        <v>5.8900000000000006</v>
      </c>
      <c r="V15" s="153">
        <v>7.2899999999999991</v>
      </c>
      <c r="W15" s="153">
        <v>11.219999999999999</v>
      </c>
      <c r="X15" s="153">
        <v>1.19</v>
      </c>
      <c r="Y15" s="153">
        <v>136.44999999999999</v>
      </c>
      <c r="Z15" s="26">
        <f t="shared" si="1"/>
        <v>1.4285818982079125E-2</v>
      </c>
      <c r="AB15" s="153">
        <f t="shared" si="2"/>
        <v>108.22</v>
      </c>
      <c r="AC15" s="153">
        <f t="shared" si="3"/>
        <v>27.04</v>
      </c>
      <c r="AD15" s="153">
        <f t="shared" si="4"/>
        <v>1.19</v>
      </c>
      <c r="AE15" s="153">
        <f t="shared" si="5"/>
        <v>136.44999999999999</v>
      </c>
      <c r="AF15" s="26">
        <f t="shared" si="6"/>
        <v>0.19816782704287286</v>
      </c>
    </row>
    <row r="16" spans="1:47" x14ac:dyDescent="0.25">
      <c r="A16" s="13" t="s">
        <v>21</v>
      </c>
      <c r="B16" s="153">
        <v>29.589999999999989</v>
      </c>
      <c r="C16" s="153">
        <v>4.01</v>
      </c>
      <c r="D16" s="153">
        <v>0.69</v>
      </c>
      <c r="E16" s="153">
        <v>10.29</v>
      </c>
      <c r="F16" s="153">
        <v>0.51</v>
      </c>
      <c r="G16" s="153">
        <v>2.95</v>
      </c>
      <c r="H16" s="153">
        <v>1.75</v>
      </c>
      <c r="I16" s="153">
        <v>2.2399999999999998</v>
      </c>
      <c r="J16" s="153">
        <v>5.4</v>
      </c>
      <c r="K16" s="153">
        <v>5.3</v>
      </c>
      <c r="L16" s="153">
        <v>3.68</v>
      </c>
      <c r="M16" s="153">
        <v>8.69</v>
      </c>
      <c r="N16" s="153">
        <v>6.67</v>
      </c>
      <c r="O16" s="153">
        <v>5.74</v>
      </c>
      <c r="P16" s="153">
        <v>1.25</v>
      </c>
      <c r="Q16" s="153">
        <v>2.7199999999999998</v>
      </c>
      <c r="R16" s="153">
        <v>5.04</v>
      </c>
      <c r="S16" s="153">
        <v>1.0900000000000001</v>
      </c>
      <c r="T16" s="153">
        <v>25.98</v>
      </c>
      <c r="U16" s="153">
        <v>27.040000000000003</v>
      </c>
      <c r="V16" s="153">
        <v>92.639999999999986</v>
      </c>
      <c r="W16" s="153">
        <v>15.520000000000001</v>
      </c>
      <c r="X16" s="153">
        <v>0.81</v>
      </c>
      <c r="Y16" s="153">
        <v>259.59999999999997</v>
      </c>
      <c r="Z16" s="26">
        <f t="shared" si="1"/>
        <v>2.7179176311819278E-2</v>
      </c>
      <c r="AB16" s="153">
        <f t="shared" si="2"/>
        <v>97.609999999999985</v>
      </c>
      <c r="AC16" s="153">
        <f t="shared" si="3"/>
        <v>161.18</v>
      </c>
      <c r="AD16" s="153">
        <f t="shared" si="4"/>
        <v>0.81</v>
      </c>
      <c r="AE16" s="153">
        <f t="shared" si="5"/>
        <v>259.59999999999997</v>
      </c>
      <c r="AF16" s="26">
        <f t="shared" si="6"/>
        <v>0.62087827426810493</v>
      </c>
    </row>
    <row r="17" spans="1:32" x14ac:dyDescent="0.25">
      <c r="A17" s="44" t="s">
        <v>63</v>
      </c>
      <c r="B17" s="152">
        <f>B18</f>
        <v>0</v>
      </c>
      <c r="C17" s="152">
        <f t="shared" ref="C17:Y17" si="9">C18</f>
        <v>0</v>
      </c>
      <c r="D17" s="152">
        <f t="shared" si="9"/>
        <v>0</v>
      </c>
      <c r="E17" s="152">
        <f t="shared" si="9"/>
        <v>0</v>
      </c>
      <c r="F17" s="152">
        <f t="shared" si="9"/>
        <v>0</v>
      </c>
      <c r="G17" s="152">
        <f t="shared" si="9"/>
        <v>0</v>
      </c>
      <c r="H17" s="152">
        <f t="shared" si="9"/>
        <v>0</v>
      </c>
      <c r="I17" s="152">
        <f t="shared" si="9"/>
        <v>0</v>
      </c>
      <c r="J17" s="152">
        <f t="shared" si="9"/>
        <v>0</v>
      </c>
      <c r="K17" s="152">
        <f t="shared" si="9"/>
        <v>0</v>
      </c>
      <c r="L17" s="152">
        <f t="shared" si="9"/>
        <v>0</v>
      </c>
      <c r="M17" s="152">
        <f t="shared" si="9"/>
        <v>0</v>
      </c>
      <c r="N17" s="152">
        <f t="shared" si="9"/>
        <v>0</v>
      </c>
      <c r="O17" s="152">
        <f t="shared" si="9"/>
        <v>0</v>
      </c>
      <c r="P17" s="152">
        <f t="shared" si="9"/>
        <v>0</v>
      </c>
      <c r="Q17" s="152">
        <f t="shared" si="9"/>
        <v>0</v>
      </c>
      <c r="R17" s="152">
        <f t="shared" si="9"/>
        <v>0</v>
      </c>
      <c r="S17" s="152">
        <f t="shared" si="9"/>
        <v>0</v>
      </c>
      <c r="T17" s="152">
        <f t="shared" si="9"/>
        <v>0</v>
      </c>
      <c r="U17" s="152">
        <f t="shared" si="9"/>
        <v>0</v>
      </c>
      <c r="V17" s="152">
        <f t="shared" si="9"/>
        <v>0</v>
      </c>
      <c r="W17" s="152">
        <f t="shared" si="9"/>
        <v>0</v>
      </c>
      <c r="X17" s="152">
        <f t="shared" si="9"/>
        <v>0.12</v>
      </c>
      <c r="Y17" s="152">
        <f t="shared" si="9"/>
        <v>0.12</v>
      </c>
      <c r="Z17" s="46">
        <f t="shared" si="1"/>
        <v>1.2563563780501979E-5</v>
      </c>
      <c r="AB17" s="152">
        <f t="shared" si="2"/>
        <v>0</v>
      </c>
      <c r="AC17" s="152">
        <f t="shared" si="3"/>
        <v>0</v>
      </c>
      <c r="AD17" s="152">
        <f t="shared" si="4"/>
        <v>0.12</v>
      </c>
      <c r="AE17" s="152">
        <f t="shared" si="5"/>
        <v>0.12</v>
      </c>
      <c r="AF17" s="46">
        <f t="shared" si="6"/>
        <v>0</v>
      </c>
    </row>
    <row r="18" spans="1:32" x14ac:dyDescent="0.25">
      <c r="A18" s="13" t="s">
        <v>64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>
        <v>0.12</v>
      </c>
      <c r="Y18" s="153">
        <v>0.12</v>
      </c>
      <c r="Z18" s="26">
        <f t="shared" si="1"/>
        <v>1.2563563780501979E-5</v>
      </c>
      <c r="AB18" s="153">
        <f t="shared" si="2"/>
        <v>0</v>
      </c>
      <c r="AC18" s="153">
        <f t="shared" si="3"/>
        <v>0</v>
      </c>
      <c r="AD18" s="153">
        <f t="shared" si="4"/>
        <v>0.12</v>
      </c>
      <c r="AE18" s="153">
        <f t="shared" si="5"/>
        <v>0.12</v>
      </c>
      <c r="AF18" s="26">
        <f t="shared" si="6"/>
        <v>0</v>
      </c>
    </row>
    <row r="19" spans="1:32" x14ac:dyDescent="0.25">
      <c r="A19" s="44" t="s">
        <v>60</v>
      </c>
      <c r="B19" s="152">
        <f>SUM(B20:B22)</f>
        <v>485.32000000000005</v>
      </c>
      <c r="C19" s="152">
        <f t="shared" ref="C19:Y19" si="10">SUM(C20:C22)</f>
        <v>16.36</v>
      </c>
      <c r="D19" s="152">
        <f t="shared" si="10"/>
        <v>5.1400000000000006</v>
      </c>
      <c r="E19" s="152">
        <f t="shared" si="10"/>
        <v>2.41</v>
      </c>
      <c r="F19" s="152">
        <f t="shared" si="10"/>
        <v>4.6800000000000006</v>
      </c>
      <c r="G19" s="152">
        <f t="shared" si="10"/>
        <v>8.57</v>
      </c>
      <c r="H19" s="152">
        <f t="shared" si="10"/>
        <v>6.86</v>
      </c>
      <c r="I19" s="152">
        <f t="shared" si="10"/>
        <v>1.5999999999999999</v>
      </c>
      <c r="J19" s="152">
        <f t="shared" si="10"/>
        <v>4.3900000000000006</v>
      </c>
      <c r="K19" s="152">
        <f t="shared" si="10"/>
        <v>0.53</v>
      </c>
      <c r="L19" s="152">
        <f t="shared" si="10"/>
        <v>13.940000000000001</v>
      </c>
      <c r="M19" s="152">
        <f t="shared" si="10"/>
        <v>5.76</v>
      </c>
      <c r="N19" s="152">
        <f t="shared" si="10"/>
        <v>3.91</v>
      </c>
      <c r="O19" s="152">
        <f t="shared" si="10"/>
        <v>13.740000000000002</v>
      </c>
      <c r="P19" s="152">
        <f t="shared" si="10"/>
        <v>30.53</v>
      </c>
      <c r="Q19" s="152">
        <f t="shared" si="10"/>
        <v>15.29</v>
      </c>
      <c r="R19" s="152">
        <f t="shared" si="10"/>
        <v>15.31</v>
      </c>
      <c r="S19" s="152">
        <f t="shared" si="10"/>
        <v>18.36</v>
      </c>
      <c r="T19" s="152">
        <f t="shared" si="10"/>
        <v>42.27</v>
      </c>
      <c r="U19" s="152">
        <f t="shared" si="10"/>
        <v>4.83</v>
      </c>
      <c r="V19" s="152">
        <f t="shared" si="10"/>
        <v>13.139999999999999</v>
      </c>
      <c r="W19" s="152">
        <f t="shared" si="10"/>
        <v>0.19</v>
      </c>
      <c r="X19" s="152">
        <f t="shared" si="10"/>
        <v>6.0600000000000005</v>
      </c>
      <c r="Y19" s="152">
        <f t="shared" si="10"/>
        <v>719.19000000000017</v>
      </c>
      <c r="Z19" s="46">
        <f t="shared" si="1"/>
        <v>7.5296578627493504E-2</v>
      </c>
      <c r="AB19" s="152">
        <f t="shared" si="2"/>
        <v>652.70000000000005</v>
      </c>
      <c r="AC19" s="152">
        <f t="shared" si="3"/>
        <v>60.43</v>
      </c>
      <c r="AD19" s="152">
        <f t="shared" si="4"/>
        <v>6.0600000000000005</v>
      </c>
      <c r="AE19" s="152">
        <f t="shared" si="5"/>
        <v>719.18999999999994</v>
      </c>
      <c r="AF19" s="46">
        <f t="shared" si="6"/>
        <v>8.4025083774802209E-2</v>
      </c>
    </row>
    <row r="20" spans="1:32" x14ac:dyDescent="0.25">
      <c r="A20" s="13" t="s">
        <v>22</v>
      </c>
      <c r="B20" s="153">
        <v>20.170000000000002</v>
      </c>
      <c r="C20" s="153">
        <v>0.42000000000000004</v>
      </c>
      <c r="D20" s="153"/>
      <c r="E20" s="153"/>
      <c r="F20" s="153">
        <v>0.36</v>
      </c>
      <c r="G20" s="153"/>
      <c r="H20" s="153">
        <v>3.24</v>
      </c>
      <c r="I20" s="153"/>
      <c r="J20" s="153"/>
      <c r="K20" s="153"/>
      <c r="L20" s="153">
        <v>0.45</v>
      </c>
      <c r="M20" s="153">
        <v>0.02</v>
      </c>
      <c r="N20" s="153"/>
      <c r="O20" s="153">
        <v>0.05</v>
      </c>
      <c r="P20" s="153"/>
      <c r="Q20" s="153">
        <v>0.53</v>
      </c>
      <c r="R20" s="153">
        <v>1.52</v>
      </c>
      <c r="S20" s="153">
        <v>0.97</v>
      </c>
      <c r="T20" s="153">
        <v>2.3200000000000003</v>
      </c>
      <c r="U20" s="153">
        <v>1.28</v>
      </c>
      <c r="V20" s="153"/>
      <c r="W20" s="153"/>
      <c r="X20" s="153">
        <v>0.46</v>
      </c>
      <c r="Y20" s="153">
        <v>31.790000000000006</v>
      </c>
      <c r="Z20" s="26">
        <f t="shared" si="1"/>
        <v>3.32829743818465E-3</v>
      </c>
      <c r="AB20" s="153">
        <f t="shared" si="2"/>
        <v>27.730000000000004</v>
      </c>
      <c r="AC20" s="153">
        <f t="shared" si="3"/>
        <v>3.6000000000000005</v>
      </c>
      <c r="AD20" s="153">
        <f t="shared" si="4"/>
        <v>0.46</v>
      </c>
      <c r="AE20" s="153">
        <f t="shared" si="5"/>
        <v>31.790000000000006</v>
      </c>
      <c r="AF20" s="26">
        <f t="shared" si="6"/>
        <v>0.11324315822585718</v>
      </c>
    </row>
    <row r="21" spans="1:32" x14ac:dyDescent="0.25">
      <c r="A21" s="13" t="s">
        <v>23</v>
      </c>
      <c r="B21" s="153">
        <v>54.089999999999996</v>
      </c>
      <c r="C21" s="153">
        <v>4.08</v>
      </c>
      <c r="D21" s="153">
        <v>0.44</v>
      </c>
      <c r="E21" s="153">
        <v>0.38</v>
      </c>
      <c r="F21" s="153">
        <v>0.65</v>
      </c>
      <c r="G21" s="153">
        <v>2.08</v>
      </c>
      <c r="H21" s="153">
        <v>2.1100000000000003</v>
      </c>
      <c r="I21" s="153">
        <v>0.15</v>
      </c>
      <c r="J21" s="153">
        <v>0.19</v>
      </c>
      <c r="K21" s="153">
        <v>0.3</v>
      </c>
      <c r="L21" s="153">
        <v>7.29</v>
      </c>
      <c r="M21" s="153">
        <v>0.5</v>
      </c>
      <c r="N21" s="153">
        <v>1.25</v>
      </c>
      <c r="O21" s="153">
        <v>8.65</v>
      </c>
      <c r="P21" s="153">
        <v>28.810000000000002</v>
      </c>
      <c r="Q21" s="153">
        <v>5.01</v>
      </c>
      <c r="R21" s="153">
        <v>5.4</v>
      </c>
      <c r="S21" s="153">
        <v>11.759999999999998</v>
      </c>
      <c r="T21" s="153">
        <v>7.0600000000000005</v>
      </c>
      <c r="U21" s="153">
        <v>2.1800000000000002</v>
      </c>
      <c r="V21" s="153">
        <v>0.8600000000000001</v>
      </c>
      <c r="W21" s="153">
        <v>0.19</v>
      </c>
      <c r="X21" s="153">
        <v>5.24</v>
      </c>
      <c r="Y21" s="153">
        <v>148.67000000000004</v>
      </c>
      <c r="Z21" s="26">
        <f t="shared" si="1"/>
        <v>1.5565208560393581E-2</v>
      </c>
      <c r="AB21" s="153">
        <f t="shared" si="2"/>
        <v>133.14000000000001</v>
      </c>
      <c r="AC21" s="153">
        <f t="shared" si="3"/>
        <v>10.29</v>
      </c>
      <c r="AD21" s="153">
        <f t="shared" si="4"/>
        <v>5.24</v>
      </c>
      <c r="AE21" s="153">
        <f t="shared" si="5"/>
        <v>148.67000000000002</v>
      </c>
      <c r="AF21" s="26">
        <f t="shared" si="6"/>
        <v>6.9213694760207153E-2</v>
      </c>
    </row>
    <row r="22" spans="1:32" x14ac:dyDescent="0.25">
      <c r="A22" s="13" t="s">
        <v>24</v>
      </c>
      <c r="B22" s="153">
        <v>411.06000000000006</v>
      </c>
      <c r="C22" s="153">
        <v>11.860000000000001</v>
      </c>
      <c r="D22" s="153">
        <v>4.7</v>
      </c>
      <c r="E22" s="153">
        <v>2.0300000000000002</v>
      </c>
      <c r="F22" s="153">
        <v>3.6700000000000004</v>
      </c>
      <c r="G22" s="153">
        <v>6.49</v>
      </c>
      <c r="H22" s="153">
        <v>1.51</v>
      </c>
      <c r="I22" s="153">
        <v>1.45</v>
      </c>
      <c r="J22" s="153">
        <v>4.2</v>
      </c>
      <c r="K22" s="153">
        <v>0.23</v>
      </c>
      <c r="L22" s="153">
        <v>6.2</v>
      </c>
      <c r="M22" s="153">
        <v>5.24</v>
      </c>
      <c r="N22" s="153">
        <v>2.66</v>
      </c>
      <c r="O22" s="153">
        <v>5.04</v>
      </c>
      <c r="P22" s="153">
        <v>1.72</v>
      </c>
      <c r="Q22" s="153">
        <v>9.75</v>
      </c>
      <c r="R22" s="153">
        <v>8.39</v>
      </c>
      <c r="S22" s="153">
        <v>5.63</v>
      </c>
      <c r="T22" s="153">
        <v>32.89</v>
      </c>
      <c r="U22" s="153">
        <v>1.37</v>
      </c>
      <c r="V22" s="153">
        <v>12.28</v>
      </c>
      <c r="W22" s="153"/>
      <c r="X22" s="153">
        <v>0.36</v>
      </c>
      <c r="Y22" s="153">
        <v>538.73000000000013</v>
      </c>
      <c r="Z22" s="26">
        <f t="shared" si="1"/>
        <v>5.6403072628915273E-2</v>
      </c>
      <c r="AB22" s="153">
        <f t="shared" si="2"/>
        <v>491.8300000000001</v>
      </c>
      <c r="AC22" s="153">
        <f t="shared" si="3"/>
        <v>46.54</v>
      </c>
      <c r="AD22" s="153">
        <f t="shared" si="4"/>
        <v>0.36</v>
      </c>
      <c r="AE22" s="153">
        <f t="shared" si="5"/>
        <v>538.73000000000013</v>
      </c>
      <c r="AF22" s="26">
        <f t="shared" si="6"/>
        <v>8.6388357804466034E-2</v>
      </c>
    </row>
    <row r="23" spans="1:32" x14ac:dyDescent="0.25">
      <c r="A23" s="44" t="s">
        <v>53</v>
      </c>
      <c r="B23" s="152">
        <f>SUM(B24:B32)</f>
        <v>74.249999999999986</v>
      </c>
      <c r="C23" s="152">
        <f t="shared" ref="C23:Y23" si="11">SUM(C24:C32)</f>
        <v>25.79</v>
      </c>
      <c r="D23" s="152">
        <f t="shared" si="11"/>
        <v>2.0699999999999998</v>
      </c>
      <c r="E23" s="152">
        <f t="shared" si="11"/>
        <v>3.56</v>
      </c>
      <c r="F23" s="152">
        <f t="shared" si="11"/>
        <v>1.4700000000000002</v>
      </c>
      <c r="G23" s="152">
        <f t="shared" si="11"/>
        <v>24.009999999999998</v>
      </c>
      <c r="H23" s="152">
        <f t="shared" si="11"/>
        <v>10.239999999999998</v>
      </c>
      <c r="I23" s="152">
        <f t="shared" si="11"/>
        <v>2.5499999999999994</v>
      </c>
      <c r="J23" s="152">
        <f t="shared" si="11"/>
        <v>23.5</v>
      </c>
      <c r="K23" s="152">
        <f t="shared" si="11"/>
        <v>35.32</v>
      </c>
      <c r="L23" s="152">
        <f t="shared" si="11"/>
        <v>28.77</v>
      </c>
      <c r="M23" s="152">
        <f t="shared" si="11"/>
        <v>33.42</v>
      </c>
      <c r="N23" s="152">
        <f t="shared" si="11"/>
        <v>9.8299999999999983</v>
      </c>
      <c r="O23" s="152">
        <f t="shared" si="11"/>
        <v>11.89</v>
      </c>
      <c r="P23" s="152">
        <f t="shared" si="11"/>
        <v>2.57</v>
      </c>
      <c r="Q23" s="152">
        <f t="shared" si="11"/>
        <v>19.009999999999994</v>
      </c>
      <c r="R23" s="152">
        <f t="shared" si="11"/>
        <v>27.21</v>
      </c>
      <c r="S23" s="152">
        <f t="shared" si="11"/>
        <v>34.089999999999996</v>
      </c>
      <c r="T23" s="152">
        <f t="shared" si="11"/>
        <v>21.960000000000004</v>
      </c>
      <c r="U23" s="152">
        <f t="shared" si="11"/>
        <v>54.27</v>
      </c>
      <c r="V23" s="152">
        <f t="shared" si="11"/>
        <v>26.53</v>
      </c>
      <c r="W23" s="152">
        <f t="shared" si="11"/>
        <v>45.97</v>
      </c>
      <c r="X23" s="152">
        <f t="shared" si="11"/>
        <v>3.84</v>
      </c>
      <c r="Y23" s="152">
        <f t="shared" si="11"/>
        <v>522.12</v>
      </c>
      <c r="Z23" s="46">
        <f t="shared" si="1"/>
        <v>5.4664066008964111E-2</v>
      </c>
      <c r="AB23" s="152">
        <f t="shared" si="2"/>
        <v>369.5499999999999</v>
      </c>
      <c r="AC23" s="152">
        <f t="shared" si="3"/>
        <v>148.73000000000002</v>
      </c>
      <c r="AD23" s="152">
        <f t="shared" si="4"/>
        <v>3.84</v>
      </c>
      <c r="AE23" s="152">
        <f t="shared" si="5"/>
        <v>522.12</v>
      </c>
      <c r="AF23" s="46">
        <f t="shared" si="6"/>
        <v>0.28485788707576803</v>
      </c>
    </row>
    <row r="24" spans="1:32" x14ac:dyDescent="0.25">
      <c r="A24" s="13" t="s">
        <v>34</v>
      </c>
      <c r="B24" s="153">
        <v>1.79</v>
      </c>
      <c r="C24" s="153"/>
      <c r="D24" s="153"/>
      <c r="E24" s="153"/>
      <c r="F24" s="153"/>
      <c r="G24" s="153"/>
      <c r="H24" s="153"/>
      <c r="I24" s="153"/>
      <c r="J24" s="153">
        <v>0.66</v>
      </c>
      <c r="K24" s="153"/>
      <c r="L24" s="153"/>
      <c r="M24" s="153"/>
      <c r="N24" s="153"/>
      <c r="O24" s="153"/>
      <c r="P24" s="153"/>
      <c r="Q24" s="153"/>
      <c r="R24" s="153">
        <v>0.15</v>
      </c>
      <c r="S24" s="153"/>
      <c r="T24" s="153">
        <v>0.32</v>
      </c>
      <c r="U24" s="153">
        <v>0.41</v>
      </c>
      <c r="V24" s="153"/>
      <c r="W24" s="153"/>
      <c r="X24" s="153"/>
      <c r="Y24" s="153">
        <v>3.33</v>
      </c>
      <c r="Z24" s="26">
        <f t="shared" si="1"/>
        <v>3.4863889490892991E-4</v>
      </c>
      <c r="AB24" s="153">
        <f t="shared" si="2"/>
        <v>2.6</v>
      </c>
      <c r="AC24" s="153">
        <f t="shared" si="3"/>
        <v>0.73</v>
      </c>
      <c r="AD24" s="153">
        <f t="shared" si="4"/>
        <v>0</v>
      </c>
      <c r="AE24" s="153">
        <f t="shared" si="5"/>
        <v>3.33</v>
      </c>
      <c r="AF24" s="26">
        <f t="shared" si="6"/>
        <v>0.21921921921921922</v>
      </c>
    </row>
    <row r="25" spans="1:32" x14ac:dyDescent="0.25">
      <c r="A25" s="13" t="s">
        <v>35</v>
      </c>
      <c r="B25" s="153">
        <v>67.339999999999989</v>
      </c>
      <c r="C25" s="153">
        <v>17.21</v>
      </c>
      <c r="D25" s="153">
        <v>1.85</v>
      </c>
      <c r="E25" s="153">
        <v>2.75</v>
      </c>
      <c r="F25" s="153">
        <v>1.33</v>
      </c>
      <c r="G25" s="153">
        <v>2.0099999999999998</v>
      </c>
      <c r="H25" s="153">
        <v>8.3000000000000007</v>
      </c>
      <c r="I25" s="153">
        <v>2.3499999999999996</v>
      </c>
      <c r="J25" s="153">
        <v>2.1</v>
      </c>
      <c r="K25" s="153">
        <v>6.3100000000000005</v>
      </c>
      <c r="L25" s="153">
        <v>11.989999999999998</v>
      </c>
      <c r="M25" s="153">
        <v>4.9399999999999995</v>
      </c>
      <c r="N25" s="153">
        <v>4.3699999999999992</v>
      </c>
      <c r="O25" s="153">
        <v>4.58</v>
      </c>
      <c r="P25" s="153">
        <v>1.9000000000000001</v>
      </c>
      <c r="Q25" s="153">
        <v>18.659999999999997</v>
      </c>
      <c r="R25" s="153">
        <v>11.260000000000002</v>
      </c>
      <c r="S25" s="153">
        <v>3.8200000000000003</v>
      </c>
      <c r="T25" s="153">
        <v>2.3000000000000003</v>
      </c>
      <c r="U25" s="153">
        <v>6.3199999999999994</v>
      </c>
      <c r="V25" s="153">
        <v>10.690000000000001</v>
      </c>
      <c r="W25" s="153">
        <v>3.22</v>
      </c>
      <c r="X25" s="153">
        <v>0.46</v>
      </c>
      <c r="Y25" s="153">
        <v>196.05999999999997</v>
      </c>
      <c r="Z25" s="26">
        <f t="shared" si="1"/>
        <v>2.0526769290043483E-2</v>
      </c>
      <c r="AB25" s="153">
        <f t="shared" si="2"/>
        <v>173.06999999999996</v>
      </c>
      <c r="AC25" s="153">
        <f t="shared" si="3"/>
        <v>22.53</v>
      </c>
      <c r="AD25" s="153">
        <f t="shared" si="4"/>
        <v>0.46</v>
      </c>
      <c r="AE25" s="153">
        <f t="shared" si="5"/>
        <v>196.05999999999997</v>
      </c>
      <c r="AF25" s="26">
        <f t="shared" si="6"/>
        <v>0.11491380189737838</v>
      </c>
    </row>
    <row r="26" spans="1:32" x14ac:dyDescent="0.25">
      <c r="A26" s="13" t="s">
        <v>36</v>
      </c>
      <c r="B26" s="153">
        <v>0.35000000000000003</v>
      </c>
      <c r="C26" s="153">
        <v>1.52</v>
      </c>
      <c r="D26" s="153"/>
      <c r="E26" s="153"/>
      <c r="F26" s="153"/>
      <c r="G26" s="153">
        <v>0.04</v>
      </c>
      <c r="H26" s="153">
        <v>0.86</v>
      </c>
      <c r="I26" s="153"/>
      <c r="J26" s="153"/>
      <c r="K26" s="153">
        <v>1.1200000000000001</v>
      </c>
      <c r="L26" s="153">
        <v>0.61</v>
      </c>
      <c r="M26" s="153">
        <v>1.94</v>
      </c>
      <c r="N26" s="153"/>
      <c r="O26" s="153"/>
      <c r="P26" s="153"/>
      <c r="Q26" s="153">
        <v>0.28999999999999998</v>
      </c>
      <c r="R26" s="153">
        <v>9.09</v>
      </c>
      <c r="S26" s="153">
        <v>0.05</v>
      </c>
      <c r="T26" s="153"/>
      <c r="U26" s="153">
        <v>10.41</v>
      </c>
      <c r="V26" s="153">
        <v>2.6</v>
      </c>
      <c r="W26" s="153">
        <v>4.5599999999999996</v>
      </c>
      <c r="X26" s="153"/>
      <c r="Y26" s="153">
        <v>33.440000000000005</v>
      </c>
      <c r="Z26" s="26">
        <f t="shared" si="1"/>
        <v>3.5010464401665519E-3</v>
      </c>
      <c r="AB26" s="153">
        <f t="shared" si="2"/>
        <v>15.870000000000001</v>
      </c>
      <c r="AC26" s="153">
        <f t="shared" si="3"/>
        <v>17.57</v>
      </c>
      <c r="AD26" s="153">
        <f t="shared" si="4"/>
        <v>0</v>
      </c>
      <c r="AE26" s="153">
        <f t="shared" si="5"/>
        <v>33.44</v>
      </c>
      <c r="AF26" s="26">
        <f t="shared" si="6"/>
        <v>0.5254186602870814</v>
      </c>
    </row>
    <row r="27" spans="1:32" x14ac:dyDescent="0.25">
      <c r="A27" s="13" t="s">
        <v>37</v>
      </c>
      <c r="B27" s="153">
        <v>0.74</v>
      </c>
      <c r="C27" s="153">
        <v>0.65</v>
      </c>
      <c r="D27" s="153">
        <v>0.21</v>
      </c>
      <c r="E27" s="153"/>
      <c r="F27" s="153"/>
      <c r="G27" s="153"/>
      <c r="H27" s="153">
        <v>0.37</v>
      </c>
      <c r="I27" s="153"/>
      <c r="J27" s="153"/>
      <c r="K27" s="153">
        <v>0.98</v>
      </c>
      <c r="L27" s="153">
        <v>0.72</v>
      </c>
      <c r="M27" s="153">
        <v>0.33</v>
      </c>
      <c r="N27" s="153"/>
      <c r="O27" s="153"/>
      <c r="P27" s="153">
        <v>0.64</v>
      </c>
      <c r="Q27" s="153"/>
      <c r="R27" s="153">
        <v>2.1100000000000003</v>
      </c>
      <c r="S27" s="153">
        <v>0.51</v>
      </c>
      <c r="T27" s="153">
        <v>3.49</v>
      </c>
      <c r="U27" s="153">
        <v>2.87</v>
      </c>
      <c r="V27" s="153">
        <v>3.39</v>
      </c>
      <c r="W27" s="153"/>
      <c r="X27" s="153">
        <v>1.27</v>
      </c>
      <c r="Y27" s="153">
        <v>18.28</v>
      </c>
      <c r="Z27" s="26">
        <f t="shared" si="1"/>
        <v>1.9138495492298016E-3</v>
      </c>
      <c r="AB27" s="153">
        <f t="shared" si="2"/>
        <v>7.26</v>
      </c>
      <c r="AC27" s="153">
        <f t="shared" si="3"/>
        <v>9.75</v>
      </c>
      <c r="AD27" s="153">
        <f t="shared" si="4"/>
        <v>1.27</v>
      </c>
      <c r="AE27" s="153">
        <f t="shared" si="5"/>
        <v>18.279999999999998</v>
      </c>
      <c r="AF27" s="26">
        <f t="shared" si="6"/>
        <v>0.53336980306345738</v>
      </c>
    </row>
    <row r="28" spans="1:32" x14ac:dyDescent="0.25">
      <c r="A28" s="13" t="s">
        <v>38</v>
      </c>
      <c r="B28" s="153">
        <v>0.17</v>
      </c>
      <c r="C28" s="153"/>
      <c r="D28" s="153"/>
      <c r="E28" s="153"/>
      <c r="F28" s="153"/>
      <c r="G28" s="153"/>
      <c r="H28" s="153"/>
      <c r="I28" s="153"/>
      <c r="J28" s="153">
        <v>0.11</v>
      </c>
      <c r="K28" s="153">
        <v>0.79</v>
      </c>
      <c r="L28" s="153"/>
      <c r="M28" s="153"/>
      <c r="N28" s="153"/>
      <c r="O28" s="153"/>
      <c r="P28" s="153">
        <v>0.03</v>
      </c>
      <c r="Q28" s="153"/>
      <c r="R28" s="153">
        <v>1.1599999999999999</v>
      </c>
      <c r="S28" s="153"/>
      <c r="T28" s="153"/>
      <c r="U28" s="153"/>
      <c r="V28" s="153">
        <v>0.36</v>
      </c>
      <c r="W28" s="153"/>
      <c r="X28" s="153"/>
      <c r="Y28" s="153">
        <v>2.6199999999999997</v>
      </c>
      <c r="Z28" s="26">
        <f t="shared" si="1"/>
        <v>2.7430447587429316E-4</v>
      </c>
      <c r="AB28" s="153">
        <f t="shared" si="2"/>
        <v>2.2599999999999998</v>
      </c>
      <c r="AC28" s="153">
        <f t="shared" si="3"/>
        <v>0.36</v>
      </c>
      <c r="AD28" s="153">
        <f t="shared" si="4"/>
        <v>0</v>
      </c>
      <c r="AE28" s="153">
        <f t="shared" si="5"/>
        <v>2.6199999999999997</v>
      </c>
      <c r="AF28" s="26">
        <f t="shared" si="6"/>
        <v>0.13740458015267176</v>
      </c>
    </row>
    <row r="29" spans="1:32" x14ac:dyDescent="0.25">
      <c r="A29" s="13" t="s">
        <v>39</v>
      </c>
      <c r="B29" s="153"/>
      <c r="C29" s="153"/>
      <c r="D29" s="153"/>
      <c r="E29" s="153"/>
      <c r="F29" s="153"/>
      <c r="G29" s="153"/>
      <c r="H29" s="153">
        <v>0.09</v>
      </c>
      <c r="I29" s="153"/>
      <c r="J29" s="153"/>
      <c r="K29" s="153">
        <v>0.5</v>
      </c>
      <c r="L29" s="153"/>
      <c r="M29" s="153"/>
      <c r="N29" s="153"/>
      <c r="O29" s="153"/>
      <c r="P29" s="153"/>
      <c r="Q29" s="153"/>
      <c r="R29" s="153"/>
      <c r="S29" s="153">
        <v>0.95</v>
      </c>
      <c r="T29" s="153"/>
      <c r="U29" s="153"/>
      <c r="V29" s="153"/>
      <c r="W29" s="153"/>
      <c r="X29" s="153"/>
      <c r="Y29" s="153">
        <v>1.54</v>
      </c>
      <c r="Z29" s="26">
        <f t="shared" si="1"/>
        <v>1.6123240184977541E-4</v>
      </c>
      <c r="AB29" s="153">
        <f t="shared" si="2"/>
        <v>1.54</v>
      </c>
      <c r="AC29" s="153">
        <f t="shared" si="3"/>
        <v>0</v>
      </c>
      <c r="AD29" s="153">
        <f t="shared" si="4"/>
        <v>0</v>
      </c>
      <c r="AE29" s="153">
        <f t="shared" si="5"/>
        <v>1.54</v>
      </c>
      <c r="AF29" s="26">
        <f t="shared" si="6"/>
        <v>0</v>
      </c>
    </row>
    <row r="30" spans="1:32" x14ac:dyDescent="0.25">
      <c r="A30" s="13" t="s">
        <v>40</v>
      </c>
      <c r="B30" s="153">
        <v>2.5199999999999996</v>
      </c>
      <c r="C30" s="153">
        <v>0.48</v>
      </c>
      <c r="D30" s="153"/>
      <c r="E30" s="153"/>
      <c r="F30" s="153"/>
      <c r="G30" s="153">
        <v>0.21</v>
      </c>
      <c r="H30" s="153">
        <v>0.18</v>
      </c>
      <c r="I30" s="153">
        <v>0.11</v>
      </c>
      <c r="J30" s="153"/>
      <c r="K30" s="153">
        <v>0.38</v>
      </c>
      <c r="L30" s="153">
        <v>0.21000000000000002</v>
      </c>
      <c r="M30" s="153">
        <v>0.4</v>
      </c>
      <c r="N30" s="153">
        <v>0.06</v>
      </c>
      <c r="O30" s="153"/>
      <c r="P30" s="153"/>
      <c r="Q30" s="153"/>
      <c r="R30" s="153">
        <v>1</v>
      </c>
      <c r="S30" s="153">
        <v>0.13</v>
      </c>
      <c r="T30" s="153"/>
      <c r="U30" s="153"/>
      <c r="V30" s="153"/>
      <c r="W30" s="153"/>
      <c r="X30" s="153"/>
      <c r="Y30" s="153">
        <v>5.68</v>
      </c>
      <c r="Z30" s="26">
        <f t="shared" si="1"/>
        <v>5.9467535227709369E-4</v>
      </c>
      <c r="AB30" s="153">
        <f t="shared" si="2"/>
        <v>5.68</v>
      </c>
      <c r="AC30" s="153">
        <f t="shared" si="3"/>
        <v>0</v>
      </c>
      <c r="AD30" s="153">
        <f t="shared" si="4"/>
        <v>0</v>
      </c>
      <c r="AE30" s="153">
        <f t="shared" si="5"/>
        <v>5.68</v>
      </c>
      <c r="AF30" s="26">
        <f t="shared" si="6"/>
        <v>0</v>
      </c>
    </row>
    <row r="31" spans="1:32" x14ac:dyDescent="0.25">
      <c r="A31" s="13" t="s">
        <v>41</v>
      </c>
      <c r="B31" s="153">
        <v>0.98</v>
      </c>
      <c r="C31" s="153">
        <v>1.47</v>
      </c>
      <c r="D31" s="153"/>
      <c r="E31" s="153">
        <v>0.80999999999999994</v>
      </c>
      <c r="F31" s="153">
        <v>0.14000000000000001</v>
      </c>
      <c r="G31" s="153">
        <v>21.75</v>
      </c>
      <c r="H31" s="153">
        <v>0.28999999999999998</v>
      </c>
      <c r="I31" s="153">
        <v>0.09</v>
      </c>
      <c r="J31" s="153">
        <v>20.63</v>
      </c>
      <c r="K31" s="153">
        <v>25.240000000000002</v>
      </c>
      <c r="L31" s="153">
        <v>15.24</v>
      </c>
      <c r="M31" s="153">
        <v>25.67</v>
      </c>
      <c r="N31" s="153">
        <v>4.2</v>
      </c>
      <c r="O31" s="153">
        <v>6.6499999999999995</v>
      </c>
      <c r="P31" s="153"/>
      <c r="Q31" s="153"/>
      <c r="R31" s="153">
        <v>2.44</v>
      </c>
      <c r="S31" s="153">
        <v>28.63</v>
      </c>
      <c r="T31" s="153">
        <v>15.430000000000001</v>
      </c>
      <c r="U31" s="153">
        <v>33.97</v>
      </c>
      <c r="V31" s="153">
        <v>7.03</v>
      </c>
      <c r="W31" s="153">
        <v>0.14000000000000001</v>
      </c>
      <c r="X31" s="153">
        <v>1.46</v>
      </c>
      <c r="Y31" s="153">
        <v>212.26000000000002</v>
      </c>
      <c r="Z31" s="26">
        <f t="shared" si="1"/>
        <v>2.2222850400411252E-2</v>
      </c>
      <c r="AB31" s="153">
        <f t="shared" si="2"/>
        <v>154.23000000000002</v>
      </c>
      <c r="AC31" s="153">
        <f t="shared" si="3"/>
        <v>56.57</v>
      </c>
      <c r="AD31" s="153">
        <f t="shared" si="4"/>
        <v>1.46</v>
      </c>
      <c r="AE31" s="153">
        <f t="shared" si="5"/>
        <v>212.26000000000002</v>
      </c>
      <c r="AF31" s="26">
        <f t="shared" si="6"/>
        <v>0.26651276736078394</v>
      </c>
    </row>
    <row r="32" spans="1:32" x14ac:dyDescent="0.25">
      <c r="A32" s="13" t="s">
        <v>42</v>
      </c>
      <c r="B32" s="153">
        <v>0.36</v>
      </c>
      <c r="C32" s="153">
        <v>4.46</v>
      </c>
      <c r="D32" s="153">
        <v>0.01</v>
      </c>
      <c r="E32" s="153"/>
      <c r="F32" s="153"/>
      <c r="G32" s="153"/>
      <c r="H32" s="153">
        <v>0.15</v>
      </c>
      <c r="I32" s="153"/>
      <c r="J32" s="153"/>
      <c r="K32" s="153"/>
      <c r="L32" s="153"/>
      <c r="M32" s="153">
        <v>0.14000000000000001</v>
      </c>
      <c r="N32" s="153">
        <v>1.2</v>
      </c>
      <c r="O32" s="153">
        <v>0.66</v>
      </c>
      <c r="P32" s="153"/>
      <c r="Q32" s="153">
        <v>0.06</v>
      </c>
      <c r="R32" s="153"/>
      <c r="S32" s="153"/>
      <c r="T32" s="153">
        <v>0.42</v>
      </c>
      <c r="U32" s="153">
        <v>0.28999999999999998</v>
      </c>
      <c r="V32" s="153">
        <v>2.46</v>
      </c>
      <c r="W32" s="153">
        <v>38.049999999999997</v>
      </c>
      <c r="X32" s="153">
        <v>0.65</v>
      </c>
      <c r="Y32" s="153">
        <v>48.91</v>
      </c>
      <c r="Z32" s="26">
        <f t="shared" si="1"/>
        <v>5.1206992042029317E-3</v>
      </c>
      <c r="AB32" s="153">
        <f t="shared" si="2"/>
        <v>7.04</v>
      </c>
      <c r="AC32" s="153">
        <f t="shared" si="3"/>
        <v>41.22</v>
      </c>
      <c r="AD32" s="153">
        <f t="shared" si="4"/>
        <v>0.65</v>
      </c>
      <c r="AE32" s="153">
        <f t="shared" si="5"/>
        <v>48.91</v>
      </c>
      <c r="AF32" s="26">
        <f t="shared" si="6"/>
        <v>0.84277243917399314</v>
      </c>
    </row>
    <row r="33" spans="1:32" x14ac:dyDescent="0.25">
      <c r="A33" s="44" t="s">
        <v>52</v>
      </c>
      <c r="B33" s="152">
        <f>SUM(B34:B38)</f>
        <v>338.50999999999993</v>
      </c>
      <c r="C33" s="152">
        <f t="shared" ref="C33:Y33" si="12">SUM(C34:C38)</f>
        <v>55.250000000000007</v>
      </c>
      <c r="D33" s="152">
        <f t="shared" si="12"/>
        <v>39.67</v>
      </c>
      <c r="E33" s="152">
        <f t="shared" si="12"/>
        <v>16.91</v>
      </c>
      <c r="F33" s="152">
        <f t="shared" si="12"/>
        <v>9.5</v>
      </c>
      <c r="G33" s="152">
        <f t="shared" si="12"/>
        <v>79.209999999999994</v>
      </c>
      <c r="H33" s="152">
        <f t="shared" si="12"/>
        <v>104.44</v>
      </c>
      <c r="I33" s="152">
        <f t="shared" si="12"/>
        <v>40.67</v>
      </c>
      <c r="J33" s="152">
        <f t="shared" si="12"/>
        <v>56.359999999999992</v>
      </c>
      <c r="K33" s="152">
        <f t="shared" si="12"/>
        <v>16.61</v>
      </c>
      <c r="L33" s="152">
        <f t="shared" si="12"/>
        <v>38.239999999999995</v>
      </c>
      <c r="M33" s="152">
        <f t="shared" si="12"/>
        <v>74.250000000000014</v>
      </c>
      <c r="N33" s="152">
        <f t="shared" si="12"/>
        <v>41.84</v>
      </c>
      <c r="O33" s="152">
        <f t="shared" si="12"/>
        <v>18.700000000000003</v>
      </c>
      <c r="P33" s="152">
        <f t="shared" si="12"/>
        <v>43.61</v>
      </c>
      <c r="Q33" s="152">
        <f t="shared" si="12"/>
        <v>57.57</v>
      </c>
      <c r="R33" s="152">
        <f t="shared" si="12"/>
        <v>187.73</v>
      </c>
      <c r="S33" s="152">
        <f t="shared" si="12"/>
        <v>133.65</v>
      </c>
      <c r="T33" s="152">
        <f t="shared" si="12"/>
        <v>142.27000000000001</v>
      </c>
      <c r="U33" s="152">
        <f t="shared" si="12"/>
        <v>118.13</v>
      </c>
      <c r="V33" s="152">
        <f t="shared" si="12"/>
        <v>69.510000000000005</v>
      </c>
      <c r="W33" s="152">
        <f t="shared" si="12"/>
        <v>78.02</v>
      </c>
      <c r="X33" s="152">
        <f t="shared" si="12"/>
        <v>2.12</v>
      </c>
      <c r="Y33" s="152">
        <f t="shared" si="12"/>
        <v>1762.7699999999998</v>
      </c>
      <c r="Z33" s="46">
        <f t="shared" si="1"/>
        <v>0.18455561104462892</v>
      </c>
      <c r="AB33" s="152">
        <f t="shared" si="2"/>
        <v>1352.7200000000003</v>
      </c>
      <c r="AC33" s="152">
        <f t="shared" si="3"/>
        <v>407.92999999999995</v>
      </c>
      <c r="AD33" s="152">
        <f t="shared" si="4"/>
        <v>2.12</v>
      </c>
      <c r="AE33" s="152">
        <f t="shared" si="5"/>
        <v>1762.77</v>
      </c>
      <c r="AF33" s="46">
        <f t="shared" si="6"/>
        <v>0.23141419470492461</v>
      </c>
    </row>
    <row r="34" spans="1:32" x14ac:dyDescent="0.25">
      <c r="A34" s="13" t="s">
        <v>29</v>
      </c>
      <c r="B34" s="153">
        <v>191.71999999999994</v>
      </c>
      <c r="C34" s="153">
        <v>29.17</v>
      </c>
      <c r="D34" s="153">
        <v>25.66</v>
      </c>
      <c r="E34" s="153">
        <v>9.17</v>
      </c>
      <c r="F34" s="153">
        <v>3.45</v>
      </c>
      <c r="G34" s="153">
        <v>20.969999999999995</v>
      </c>
      <c r="H34" s="153">
        <v>43.94</v>
      </c>
      <c r="I34" s="153">
        <v>24.43</v>
      </c>
      <c r="J34" s="153">
        <v>38.839999999999996</v>
      </c>
      <c r="K34" s="153">
        <v>9.5</v>
      </c>
      <c r="L34" s="153">
        <v>16.489999999999998</v>
      </c>
      <c r="M34" s="153">
        <v>32.830000000000005</v>
      </c>
      <c r="N34" s="153">
        <v>19.8</v>
      </c>
      <c r="O34" s="153">
        <v>3.8</v>
      </c>
      <c r="P34" s="153">
        <v>14.42</v>
      </c>
      <c r="Q34" s="153">
        <v>26.299999999999997</v>
      </c>
      <c r="R34" s="153">
        <v>111.76</v>
      </c>
      <c r="S34" s="153">
        <v>80.430000000000007</v>
      </c>
      <c r="T34" s="153">
        <v>89.830000000000013</v>
      </c>
      <c r="U34" s="153">
        <v>55.419999999999995</v>
      </c>
      <c r="V34" s="153">
        <v>17.86</v>
      </c>
      <c r="W34" s="153">
        <v>39.47</v>
      </c>
      <c r="X34" s="153">
        <v>0.89000000000000012</v>
      </c>
      <c r="Y34" s="153">
        <v>906.14999999999986</v>
      </c>
      <c r="Z34" s="26">
        <f t="shared" si="1"/>
        <v>9.487061099751555E-2</v>
      </c>
      <c r="AB34" s="153">
        <f t="shared" si="2"/>
        <v>702.67999999999984</v>
      </c>
      <c r="AC34" s="153">
        <f t="shared" si="3"/>
        <v>202.58</v>
      </c>
      <c r="AD34" s="153">
        <f t="shared" si="4"/>
        <v>0.89000000000000012</v>
      </c>
      <c r="AE34" s="153">
        <f t="shared" si="5"/>
        <v>906.14999999999986</v>
      </c>
      <c r="AF34" s="26">
        <f t="shared" si="6"/>
        <v>0.22356122054847435</v>
      </c>
    </row>
    <row r="35" spans="1:32" x14ac:dyDescent="0.25">
      <c r="A35" s="13" t="s">
        <v>30</v>
      </c>
      <c r="B35" s="153">
        <v>15.370000000000001</v>
      </c>
      <c r="C35" s="153">
        <v>0.31</v>
      </c>
      <c r="D35" s="153">
        <v>2.66</v>
      </c>
      <c r="E35" s="153"/>
      <c r="F35" s="153">
        <v>4.18</v>
      </c>
      <c r="G35" s="153">
        <v>5.2500000000000009</v>
      </c>
      <c r="H35" s="153">
        <v>12.92</v>
      </c>
      <c r="I35" s="153">
        <v>14.82</v>
      </c>
      <c r="J35" s="153">
        <v>4.92</v>
      </c>
      <c r="K35" s="153"/>
      <c r="L35" s="153">
        <v>9.48</v>
      </c>
      <c r="M35" s="153">
        <v>4.47</v>
      </c>
      <c r="N35" s="153">
        <v>2.36</v>
      </c>
      <c r="O35" s="153">
        <v>1.18</v>
      </c>
      <c r="P35" s="153">
        <v>10.09</v>
      </c>
      <c r="Q35" s="153">
        <v>7.71</v>
      </c>
      <c r="R35" s="153">
        <v>30.31</v>
      </c>
      <c r="S35" s="153">
        <v>26.21</v>
      </c>
      <c r="T35" s="153">
        <v>12.670000000000002</v>
      </c>
      <c r="U35" s="153">
        <v>21.38</v>
      </c>
      <c r="V35" s="153">
        <v>12.41</v>
      </c>
      <c r="W35" s="153">
        <v>22.64</v>
      </c>
      <c r="X35" s="153">
        <v>0.22</v>
      </c>
      <c r="Y35" s="153">
        <v>221.56000000000003</v>
      </c>
      <c r="Z35" s="26">
        <f t="shared" si="1"/>
        <v>2.3196526593400157E-2</v>
      </c>
      <c r="AB35" s="153">
        <f t="shared" si="2"/>
        <v>152.24</v>
      </c>
      <c r="AC35" s="153">
        <f t="shared" si="3"/>
        <v>69.099999999999994</v>
      </c>
      <c r="AD35" s="153">
        <f t="shared" si="4"/>
        <v>0.22</v>
      </c>
      <c r="AE35" s="153">
        <f t="shared" si="5"/>
        <v>221.56</v>
      </c>
      <c r="AF35" s="26">
        <f t="shared" si="6"/>
        <v>0.31187940061382918</v>
      </c>
    </row>
    <row r="36" spans="1:32" x14ac:dyDescent="0.25">
      <c r="A36" s="13" t="s">
        <v>31</v>
      </c>
      <c r="B36" s="153">
        <v>86.119999999999976</v>
      </c>
      <c r="C36" s="153">
        <v>14.25</v>
      </c>
      <c r="D36" s="153"/>
      <c r="E36" s="153">
        <v>7.74</v>
      </c>
      <c r="F36" s="153">
        <v>1.8</v>
      </c>
      <c r="G36" s="153">
        <v>1.22</v>
      </c>
      <c r="H36" s="153">
        <v>0.63</v>
      </c>
      <c r="I36" s="153">
        <v>1.1099999999999999</v>
      </c>
      <c r="J36" s="153">
        <v>3.11</v>
      </c>
      <c r="K36" s="153">
        <v>6.5</v>
      </c>
      <c r="L36" s="153">
        <v>3.63</v>
      </c>
      <c r="M36" s="153">
        <v>33.25</v>
      </c>
      <c r="N36" s="153">
        <v>2.02</v>
      </c>
      <c r="O36" s="153">
        <v>5.62</v>
      </c>
      <c r="P36" s="153">
        <v>7.24</v>
      </c>
      <c r="Q36" s="153">
        <v>2.6999999999999997</v>
      </c>
      <c r="R36" s="153">
        <v>10.43</v>
      </c>
      <c r="S36" s="153">
        <v>15.900000000000002</v>
      </c>
      <c r="T36" s="153">
        <v>26.05</v>
      </c>
      <c r="U36" s="153">
        <v>6.1100000000000012</v>
      </c>
      <c r="V36" s="153">
        <v>10.16</v>
      </c>
      <c r="W36" s="153">
        <v>8.9600000000000009</v>
      </c>
      <c r="X36" s="153">
        <v>0.29000000000000004</v>
      </c>
      <c r="Y36" s="153">
        <v>254.84</v>
      </c>
      <c r="Z36" s="26">
        <f t="shared" si="1"/>
        <v>2.6680821615192703E-2</v>
      </c>
      <c r="AB36" s="153">
        <f t="shared" si="2"/>
        <v>203.26999999999998</v>
      </c>
      <c r="AC36" s="153">
        <f t="shared" si="3"/>
        <v>51.280000000000008</v>
      </c>
      <c r="AD36" s="153">
        <f t="shared" si="4"/>
        <v>0.29000000000000004</v>
      </c>
      <c r="AE36" s="153">
        <f t="shared" si="5"/>
        <v>254.83999999999997</v>
      </c>
      <c r="AF36" s="26">
        <f t="shared" si="6"/>
        <v>0.20122429759849322</v>
      </c>
    </row>
    <row r="37" spans="1:32" x14ac:dyDescent="0.25">
      <c r="A37" s="13" t="s">
        <v>32</v>
      </c>
      <c r="B37" s="153">
        <v>17.189999999999998</v>
      </c>
      <c r="C37" s="153">
        <v>2.14</v>
      </c>
      <c r="D37" s="153"/>
      <c r="E37" s="153"/>
      <c r="F37" s="153">
        <v>7.0000000000000007E-2</v>
      </c>
      <c r="G37" s="153">
        <v>0.95</v>
      </c>
      <c r="H37" s="153"/>
      <c r="I37" s="153">
        <v>0.31</v>
      </c>
      <c r="J37" s="153">
        <v>4.4800000000000004</v>
      </c>
      <c r="K37" s="153">
        <v>0.55000000000000004</v>
      </c>
      <c r="L37" s="153">
        <v>0.54</v>
      </c>
      <c r="M37" s="153">
        <v>0.64</v>
      </c>
      <c r="N37" s="153"/>
      <c r="O37" s="153">
        <v>0.65</v>
      </c>
      <c r="P37" s="153">
        <v>0.4</v>
      </c>
      <c r="Q37" s="153"/>
      <c r="R37" s="153">
        <v>0.28000000000000003</v>
      </c>
      <c r="S37" s="153">
        <v>7.48</v>
      </c>
      <c r="T37" s="153">
        <v>0.21</v>
      </c>
      <c r="U37" s="153">
        <v>6.33</v>
      </c>
      <c r="V37" s="153">
        <v>10.170000000000002</v>
      </c>
      <c r="W37" s="153">
        <v>0.11</v>
      </c>
      <c r="X37" s="153">
        <v>0.4</v>
      </c>
      <c r="Y37" s="153">
        <v>52.899999999999991</v>
      </c>
      <c r="Z37" s="26">
        <f t="shared" si="1"/>
        <v>5.5384376999046215E-3</v>
      </c>
      <c r="AB37" s="153">
        <f t="shared" si="2"/>
        <v>35.679999999999993</v>
      </c>
      <c r="AC37" s="153">
        <f t="shared" si="3"/>
        <v>16.82</v>
      </c>
      <c r="AD37" s="153">
        <f t="shared" si="4"/>
        <v>0.4</v>
      </c>
      <c r="AE37" s="153">
        <f t="shared" si="5"/>
        <v>52.899999999999991</v>
      </c>
      <c r="AF37" s="26">
        <f t="shared" si="6"/>
        <v>0.31795841209829873</v>
      </c>
    </row>
    <row r="38" spans="1:32" x14ac:dyDescent="0.25">
      <c r="A38" s="13" t="s">
        <v>33</v>
      </c>
      <c r="B38" s="153">
        <v>28.109999999999996</v>
      </c>
      <c r="C38" s="153">
        <v>9.3800000000000008</v>
      </c>
      <c r="D38" s="153">
        <v>11.35</v>
      </c>
      <c r="E38" s="153"/>
      <c r="F38" s="153"/>
      <c r="G38" s="153">
        <v>50.82</v>
      </c>
      <c r="H38" s="153">
        <v>46.95</v>
      </c>
      <c r="I38" s="153"/>
      <c r="J38" s="153">
        <v>5.01</v>
      </c>
      <c r="K38" s="153">
        <v>0.06</v>
      </c>
      <c r="L38" s="153">
        <v>8.1</v>
      </c>
      <c r="M38" s="153">
        <v>3.06</v>
      </c>
      <c r="N38" s="153">
        <v>17.66</v>
      </c>
      <c r="O38" s="153">
        <v>7.4500000000000011</v>
      </c>
      <c r="P38" s="153">
        <v>11.46</v>
      </c>
      <c r="Q38" s="153">
        <v>20.86</v>
      </c>
      <c r="R38" s="153">
        <v>34.949999999999996</v>
      </c>
      <c r="S38" s="153">
        <v>3.63</v>
      </c>
      <c r="T38" s="153">
        <v>13.509999999999998</v>
      </c>
      <c r="U38" s="153">
        <v>28.89</v>
      </c>
      <c r="V38" s="153">
        <v>18.91</v>
      </c>
      <c r="W38" s="153">
        <v>6.84</v>
      </c>
      <c r="X38" s="153">
        <v>0.32</v>
      </c>
      <c r="Y38" s="153">
        <v>327.31999999999994</v>
      </c>
      <c r="Z38" s="26">
        <f t="shared" si="1"/>
        <v>3.4269214138615889E-2</v>
      </c>
      <c r="AB38" s="153">
        <f t="shared" si="2"/>
        <v>258.84999999999997</v>
      </c>
      <c r="AC38" s="153">
        <f t="shared" si="3"/>
        <v>68.150000000000006</v>
      </c>
      <c r="AD38" s="153">
        <f t="shared" si="4"/>
        <v>0.32</v>
      </c>
      <c r="AE38" s="153">
        <f t="shared" si="5"/>
        <v>327.32</v>
      </c>
      <c r="AF38" s="26">
        <f t="shared" si="6"/>
        <v>0.2082060369057803</v>
      </c>
    </row>
    <row r="39" spans="1:32" x14ac:dyDescent="0.25">
      <c r="A39" s="44" t="s">
        <v>65</v>
      </c>
      <c r="B39" s="152">
        <f>B40</f>
        <v>0</v>
      </c>
      <c r="C39" s="152">
        <f t="shared" ref="C39:Y39" si="13">C40</f>
        <v>0</v>
      </c>
      <c r="D39" s="152">
        <f t="shared" si="13"/>
        <v>0</v>
      </c>
      <c r="E39" s="152">
        <f t="shared" si="13"/>
        <v>0</v>
      </c>
      <c r="F39" s="152">
        <f t="shared" si="13"/>
        <v>0</v>
      </c>
      <c r="G39" s="152">
        <f t="shared" si="13"/>
        <v>0</v>
      </c>
      <c r="H39" s="152">
        <f t="shared" si="13"/>
        <v>0</v>
      </c>
      <c r="I39" s="152">
        <f t="shared" si="13"/>
        <v>0</v>
      </c>
      <c r="J39" s="152">
        <f t="shared" si="13"/>
        <v>0</v>
      </c>
      <c r="K39" s="152">
        <f t="shared" si="13"/>
        <v>0</v>
      </c>
      <c r="L39" s="152">
        <f t="shared" si="13"/>
        <v>0</v>
      </c>
      <c r="M39" s="152">
        <f t="shared" si="13"/>
        <v>0</v>
      </c>
      <c r="N39" s="152">
        <f t="shared" si="13"/>
        <v>0</v>
      </c>
      <c r="O39" s="152">
        <f t="shared" si="13"/>
        <v>0</v>
      </c>
      <c r="P39" s="152">
        <f t="shared" si="13"/>
        <v>0</v>
      </c>
      <c r="Q39" s="152">
        <f t="shared" si="13"/>
        <v>0</v>
      </c>
      <c r="R39" s="152">
        <f t="shared" si="13"/>
        <v>0</v>
      </c>
      <c r="S39" s="152">
        <f t="shared" si="13"/>
        <v>0</v>
      </c>
      <c r="T39" s="152">
        <f t="shared" si="13"/>
        <v>0</v>
      </c>
      <c r="U39" s="152">
        <f t="shared" si="13"/>
        <v>0</v>
      </c>
      <c r="V39" s="152">
        <f t="shared" si="13"/>
        <v>0</v>
      </c>
      <c r="W39" s="152">
        <f t="shared" si="13"/>
        <v>0</v>
      </c>
      <c r="X39" s="152">
        <f t="shared" si="13"/>
        <v>7.99</v>
      </c>
      <c r="Y39" s="152">
        <f t="shared" si="13"/>
        <v>7.99</v>
      </c>
      <c r="Z39" s="46">
        <f t="shared" si="1"/>
        <v>8.365239550517568E-4</v>
      </c>
      <c r="AB39" s="152">
        <f t="shared" si="2"/>
        <v>0</v>
      </c>
      <c r="AC39" s="152">
        <f t="shared" si="3"/>
        <v>0</v>
      </c>
      <c r="AD39" s="152">
        <f t="shared" si="4"/>
        <v>7.99</v>
      </c>
      <c r="AE39" s="152">
        <f t="shared" si="5"/>
        <v>7.99</v>
      </c>
      <c r="AF39" s="46">
        <f t="shared" si="6"/>
        <v>0</v>
      </c>
    </row>
    <row r="40" spans="1:32" x14ac:dyDescent="0.25">
      <c r="A40" s="13" t="s">
        <v>66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>
        <v>7.99</v>
      </c>
      <c r="Y40" s="153">
        <v>7.99</v>
      </c>
      <c r="Z40" s="26">
        <f t="shared" si="1"/>
        <v>8.365239550517568E-4</v>
      </c>
      <c r="AB40" s="153">
        <f t="shared" si="2"/>
        <v>0</v>
      </c>
      <c r="AC40" s="153">
        <f t="shared" si="3"/>
        <v>0</v>
      </c>
      <c r="AD40" s="153">
        <f t="shared" si="4"/>
        <v>7.99</v>
      </c>
      <c r="AE40" s="153">
        <f t="shared" si="5"/>
        <v>7.99</v>
      </c>
      <c r="AF40" s="26">
        <f t="shared" si="6"/>
        <v>0</v>
      </c>
    </row>
    <row r="41" spans="1:32" x14ac:dyDescent="0.25">
      <c r="A41" s="44" t="s">
        <v>51</v>
      </c>
      <c r="B41" s="152">
        <f>SUM(B42:B45)</f>
        <v>371.86</v>
      </c>
      <c r="C41" s="152">
        <f t="shared" ref="C41:Y41" si="14">SUM(C42:C45)</f>
        <v>130.92000000000002</v>
      </c>
      <c r="D41" s="152">
        <f t="shared" si="14"/>
        <v>21.649999999999995</v>
      </c>
      <c r="E41" s="152">
        <f t="shared" si="14"/>
        <v>17.28</v>
      </c>
      <c r="F41" s="152">
        <f t="shared" si="14"/>
        <v>19.989999999999995</v>
      </c>
      <c r="G41" s="152">
        <f t="shared" si="14"/>
        <v>17.64</v>
      </c>
      <c r="H41" s="152">
        <f t="shared" si="14"/>
        <v>36.910000000000004</v>
      </c>
      <c r="I41" s="152">
        <f t="shared" si="14"/>
        <v>15.96</v>
      </c>
      <c r="J41" s="152">
        <f t="shared" si="14"/>
        <v>32.22</v>
      </c>
      <c r="K41" s="152">
        <f t="shared" si="14"/>
        <v>13.27</v>
      </c>
      <c r="L41" s="152">
        <f t="shared" si="14"/>
        <v>15.37</v>
      </c>
      <c r="M41" s="152">
        <f t="shared" si="14"/>
        <v>29.67</v>
      </c>
      <c r="N41" s="152">
        <f t="shared" si="14"/>
        <v>7.55</v>
      </c>
      <c r="O41" s="152">
        <f t="shared" si="14"/>
        <v>27.669999999999995</v>
      </c>
      <c r="P41" s="152">
        <f t="shared" si="14"/>
        <v>23.78</v>
      </c>
      <c r="Q41" s="152">
        <f t="shared" si="14"/>
        <v>33.150000000000006</v>
      </c>
      <c r="R41" s="152">
        <f t="shared" si="14"/>
        <v>64.97</v>
      </c>
      <c r="S41" s="152">
        <f t="shared" si="14"/>
        <v>85.91</v>
      </c>
      <c r="T41" s="152">
        <f t="shared" si="14"/>
        <v>63.27</v>
      </c>
      <c r="U41" s="152">
        <f t="shared" si="14"/>
        <v>61.250000000000007</v>
      </c>
      <c r="V41" s="152">
        <f t="shared" si="14"/>
        <v>38.53</v>
      </c>
      <c r="W41" s="152">
        <f t="shared" si="14"/>
        <v>47.8</v>
      </c>
      <c r="X41" s="152">
        <f t="shared" si="14"/>
        <v>1.34</v>
      </c>
      <c r="Y41" s="152">
        <f t="shared" si="14"/>
        <v>1177.96</v>
      </c>
      <c r="Z41" s="46">
        <f t="shared" si="1"/>
        <v>0.12332812992400093</v>
      </c>
      <c r="AB41" s="152">
        <f t="shared" si="2"/>
        <v>965.76999999999987</v>
      </c>
      <c r="AC41" s="152">
        <f t="shared" si="3"/>
        <v>210.85000000000002</v>
      </c>
      <c r="AD41" s="152">
        <f t="shared" si="4"/>
        <v>1.34</v>
      </c>
      <c r="AE41" s="152">
        <f t="shared" si="5"/>
        <v>1177.9599999999998</v>
      </c>
      <c r="AF41" s="46">
        <f t="shared" si="6"/>
        <v>0.17899589120173864</v>
      </c>
    </row>
    <row r="42" spans="1:32" x14ac:dyDescent="0.25">
      <c r="A42" s="13" t="s">
        <v>25</v>
      </c>
      <c r="B42" s="153">
        <v>14.860000000000001</v>
      </c>
      <c r="C42" s="153">
        <v>6.76</v>
      </c>
      <c r="D42" s="153">
        <v>9.3699999999999992</v>
      </c>
      <c r="E42" s="153">
        <v>0.64</v>
      </c>
      <c r="F42" s="153">
        <v>3.1199999999999997</v>
      </c>
      <c r="G42" s="153">
        <v>0.63</v>
      </c>
      <c r="H42" s="153">
        <v>8.8800000000000008</v>
      </c>
      <c r="I42" s="153">
        <v>1.98</v>
      </c>
      <c r="J42" s="153">
        <v>0.15</v>
      </c>
      <c r="K42" s="153"/>
      <c r="L42" s="153">
        <v>0.13</v>
      </c>
      <c r="M42" s="153">
        <v>1.03</v>
      </c>
      <c r="N42" s="153">
        <v>0.78</v>
      </c>
      <c r="O42" s="153">
        <v>0.65</v>
      </c>
      <c r="P42" s="153">
        <v>6.68</v>
      </c>
      <c r="Q42" s="153">
        <v>15.3</v>
      </c>
      <c r="R42" s="153">
        <v>11.33</v>
      </c>
      <c r="S42" s="153">
        <v>20.369999999999997</v>
      </c>
      <c r="T42" s="153">
        <v>1.5</v>
      </c>
      <c r="U42" s="153">
        <v>4.0999999999999996</v>
      </c>
      <c r="V42" s="153">
        <v>0.38</v>
      </c>
      <c r="W42" s="153"/>
      <c r="X42" s="153"/>
      <c r="Y42" s="153">
        <v>108.63999999999999</v>
      </c>
      <c r="Z42" s="26">
        <f t="shared" si="1"/>
        <v>1.1374213075947791E-2</v>
      </c>
      <c r="AB42" s="153">
        <f t="shared" si="2"/>
        <v>102.66</v>
      </c>
      <c r="AC42" s="153">
        <f t="shared" si="3"/>
        <v>5.9799999999999995</v>
      </c>
      <c r="AD42" s="153">
        <f t="shared" si="4"/>
        <v>0</v>
      </c>
      <c r="AE42" s="153">
        <f t="shared" si="5"/>
        <v>108.64</v>
      </c>
      <c r="AF42" s="26">
        <f t="shared" si="6"/>
        <v>5.5044182621502208E-2</v>
      </c>
    </row>
    <row r="43" spans="1:32" x14ac:dyDescent="0.25">
      <c r="A43" s="13" t="s">
        <v>26</v>
      </c>
      <c r="B43" s="153">
        <v>103.69999999999999</v>
      </c>
      <c r="C43" s="153">
        <v>47.120000000000005</v>
      </c>
      <c r="D43" s="153">
        <v>6.68</v>
      </c>
      <c r="E43" s="153">
        <v>4.12</v>
      </c>
      <c r="F43" s="153">
        <v>5.25</v>
      </c>
      <c r="G43" s="153">
        <v>2.83</v>
      </c>
      <c r="H43" s="153">
        <v>8.16</v>
      </c>
      <c r="I43" s="153">
        <v>1.71</v>
      </c>
      <c r="J43" s="153">
        <v>5.15</v>
      </c>
      <c r="K43" s="153">
        <v>2.37</v>
      </c>
      <c r="L43" s="153">
        <v>0.36</v>
      </c>
      <c r="M43" s="153">
        <v>0.37</v>
      </c>
      <c r="N43" s="153"/>
      <c r="O43" s="153">
        <v>2.23</v>
      </c>
      <c r="P43" s="153"/>
      <c r="Q43" s="153"/>
      <c r="R43" s="153"/>
      <c r="S43" s="153">
        <v>8.01</v>
      </c>
      <c r="T43" s="153">
        <v>8.3699999999999992</v>
      </c>
      <c r="U43" s="153">
        <v>4.5600000000000005</v>
      </c>
      <c r="V43" s="153">
        <v>5.75</v>
      </c>
      <c r="W43" s="153">
        <v>10.25</v>
      </c>
      <c r="X43" s="153"/>
      <c r="Y43" s="153">
        <v>226.99000000000004</v>
      </c>
      <c r="Z43" s="26">
        <f t="shared" si="1"/>
        <v>2.3765027854467873E-2</v>
      </c>
      <c r="AB43" s="153">
        <f t="shared" si="2"/>
        <v>198.06000000000003</v>
      </c>
      <c r="AC43" s="153">
        <f t="shared" si="3"/>
        <v>28.93</v>
      </c>
      <c r="AD43" s="153">
        <f t="shared" si="4"/>
        <v>0</v>
      </c>
      <c r="AE43" s="153">
        <f t="shared" si="5"/>
        <v>226.99000000000004</v>
      </c>
      <c r="AF43" s="26">
        <f t="shared" si="6"/>
        <v>0.12745054848231196</v>
      </c>
    </row>
    <row r="44" spans="1:32" x14ac:dyDescent="0.25">
      <c r="A44" s="13" t="s">
        <v>27</v>
      </c>
      <c r="B44" s="153">
        <v>141.57999999999998</v>
      </c>
      <c r="C44" s="153">
        <v>51.730000000000004</v>
      </c>
      <c r="D44" s="153">
        <v>4.38</v>
      </c>
      <c r="E44" s="153">
        <v>7.26</v>
      </c>
      <c r="F44" s="153">
        <v>10.469999999999999</v>
      </c>
      <c r="G44" s="153">
        <v>13.21</v>
      </c>
      <c r="H44" s="153">
        <v>14.31</v>
      </c>
      <c r="I44" s="153">
        <v>10.210000000000001</v>
      </c>
      <c r="J44" s="153">
        <v>24.73</v>
      </c>
      <c r="K44" s="153">
        <v>5.38</v>
      </c>
      <c r="L44" s="153">
        <v>14.02</v>
      </c>
      <c r="M44" s="153">
        <v>22.44</v>
      </c>
      <c r="N44" s="153">
        <v>5.88</v>
      </c>
      <c r="O44" s="153">
        <v>19.799999999999997</v>
      </c>
      <c r="P44" s="153">
        <v>13.7</v>
      </c>
      <c r="Q44" s="153">
        <v>13.62</v>
      </c>
      <c r="R44" s="153">
        <v>23.54</v>
      </c>
      <c r="S44" s="153">
        <v>41.52</v>
      </c>
      <c r="T44" s="153">
        <v>51.750000000000007</v>
      </c>
      <c r="U44" s="153">
        <v>49.570000000000007</v>
      </c>
      <c r="V44" s="153">
        <v>29.080000000000002</v>
      </c>
      <c r="W44" s="153">
        <v>33.61</v>
      </c>
      <c r="X44" s="153"/>
      <c r="Y44" s="153">
        <v>601.79000000000008</v>
      </c>
      <c r="Z44" s="26">
        <f t="shared" si="1"/>
        <v>6.3005225395569062E-2</v>
      </c>
      <c r="AB44" s="153">
        <f t="shared" si="2"/>
        <v>437.78</v>
      </c>
      <c r="AC44" s="153">
        <f t="shared" si="3"/>
        <v>164.01000000000005</v>
      </c>
      <c r="AD44" s="153">
        <f t="shared" si="4"/>
        <v>0</v>
      </c>
      <c r="AE44" s="153">
        <f t="shared" si="5"/>
        <v>601.79</v>
      </c>
      <c r="AF44" s="26">
        <f t="shared" si="6"/>
        <v>0.2725369314877284</v>
      </c>
    </row>
    <row r="45" spans="1:32" x14ac:dyDescent="0.25">
      <c r="A45" s="13" t="s">
        <v>28</v>
      </c>
      <c r="B45" s="153">
        <v>111.72000000000003</v>
      </c>
      <c r="C45" s="153">
        <v>25.309999999999995</v>
      </c>
      <c r="D45" s="153">
        <v>1.22</v>
      </c>
      <c r="E45" s="153">
        <v>5.2600000000000007</v>
      </c>
      <c r="F45" s="153">
        <v>1.1499999999999999</v>
      </c>
      <c r="G45" s="153">
        <v>0.97</v>
      </c>
      <c r="H45" s="153">
        <v>5.56</v>
      </c>
      <c r="I45" s="153">
        <v>2.06</v>
      </c>
      <c r="J45" s="153">
        <v>2.19</v>
      </c>
      <c r="K45" s="153">
        <v>5.52</v>
      </c>
      <c r="L45" s="153">
        <v>0.86</v>
      </c>
      <c r="M45" s="153">
        <v>5.83</v>
      </c>
      <c r="N45" s="153">
        <v>0.89</v>
      </c>
      <c r="O45" s="153">
        <v>4.99</v>
      </c>
      <c r="P45" s="153">
        <v>3.4000000000000004</v>
      </c>
      <c r="Q45" s="153">
        <v>4.2300000000000004</v>
      </c>
      <c r="R45" s="153">
        <v>30.1</v>
      </c>
      <c r="S45" s="153">
        <v>16.009999999999998</v>
      </c>
      <c r="T45" s="153">
        <v>1.65</v>
      </c>
      <c r="U45" s="153">
        <v>3.0200000000000005</v>
      </c>
      <c r="V45" s="153">
        <v>3.32</v>
      </c>
      <c r="W45" s="153">
        <v>3.9400000000000004</v>
      </c>
      <c r="X45" s="153">
        <v>1.34</v>
      </c>
      <c r="Y45" s="153">
        <v>240.54000000000005</v>
      </c>
      <c r="Z45" s="26">
        <f t="shared" si="1"/>
        <v>2.5183663598016222E-2</v>
      </c>
      <c r="AB45" s="153">
        <f t="shared" si="2"/>
        <v>227.27000000000004</v>
      </c>
      <c r="AC45" s="153">
        <f t="shared" si="3"/>
        <v>11.93</v>
      </c>
      <c r="AD45" s="153">
        <f t="shared" si="4"/>
        <v>1.34</v>
      </c>
      <c r="AE45" s="153">
        <f t="shared" si="5"/>
        <v>240.54000000000005</v>
      </c>
      <c r="AF45" s="26">
        <f t="shared" si="6"/>
        <v>4.959674066683295E-2</v>
      </c>
    </row>
    <row r="46" spans="1:32" x14ac:dyDescent="0.25">
      <c r="A46" s="44" t="s">
        <v>54</v>
      </c>
      <c r="B46" s="152">
        <f>SUM(B47:B48)</f>
        <v>249.36</v>
      </c>
      <c r="C46" s="152">
        <f t="shared" ref="C46:Y46" si="15">SUM(C47:C48)</f>
        <v>10.67</v>
      </c>
      <c r="D46" s="152">
        <f t="shared" si="15"/>
        <v>15.739999999999998</v>
      </c>
      <c r="E46" s="152">
        <f t="shared" si="15"/>
        <v>0</v>
      </c>
      <c r="F46" s="152">
        <f t="shared" si="15"/>
        <v>0.43</v>
      </c>
      <c r="G46" s="152">
        <f t="shared" si="15"/>
        <v>1.81</v>
      </c>
      <c r="H46" s="152">
        <f t="shared" si="15"/>
        <v>199.94</v>
      </c>
      <c r="I46" s="152">
        <f t="shared" si="15"/>
        <v>109.18</v>
      </c>
      <c r="J46" s="152">
        <f t="shared" si="15"/>
        <v>137.60999999999999</v>
      </c>
      <c r="K46" s="152">
        <f t="shared" si="15"/>
        <v>49.03</v>
      </c>
      <c r="L46" s="152">
        <f t="shared" si="15"/>
        <v>212.74</v>
      </c>
      <c r="M46" s="152">
        <f t="shared" si="15"/>
        <v>10.68</v>
      </c>
      <c r="N46" s="152">
        <f t="shared" si="15"/>
        <v>4.76</v>
      </c>
      <c r="O46" s="152">
        <f t="shared" si="15"/>
        <v>39.68</v>
      </c>
      <c r="P46" s="152">
        <f t="shared" si="15"/>
        <v>21.47</v>
      </c>
      <c r="Q46" s="152">
        <f t="shared" si="15"/>
        <v>81.039999999999992</v>
      </c>
      <c r="R46" s="152">
        <f t="shared" si="15"/>
        <v>173.82999999999998</v>
      </c>
      <c r="S46" s="152">
        <f t="shared" si="15"/>
        <v>337.87</v>
      </c>
      <c r="T46" s="152">
        <f t="shared" si="15"/>
        <v>107.42999999999998</v>
      </c>
      <c r="U46" s="152">
        <f t="shared" si="15"/>
        <v>163.63999999999996</v>
      </c>
      <c r="V46" s="152">
        <f t="shared" si="15"/>
        <v>389.45</v>
      </c>
      <c r="W46" s="152">
        <f t="shared" si="15"/>
        <v>50.43</v>
      </c>
      <c r="X46" s="152">
        <f t="shared" si="15"/>
        <v>0</v>
      </c>
      <c r="Y46" s="152">
        <f t="shared" si="15"/>
        <v>2366.79</v>
      </c>
      <c r="Z46" s="46">
        <f t="shared" si="1"/>
        <v>0.24779430933378566</v>
      </c>
      <c r="AB46" s="152">
        <f t="shared" si="2"/>
        <v>1655.8400000000001</v>
      </c>
      <c r="AC46" s="152">
        <f t="shared" si="3"/>
        <v>710.94999999999993</v>
      </c>
      <c r="AD46" s="152">
        <f t="shared" si="4"/>
        <v>0</v>
      </c>
      <c r="AE46" s="152">
        <f t="shared" si="5"/>
        <v>2366.79</v>
      </c>
      <c r="AF46" s="46">
        <f t="shared" si="6"/>
        <v>0.30038575454518562</v>
      </c>
    </row>
    <row r="47" spans="1:32" x14ac:dyDescent="0.25">
      <c r="A47" s="13" t="s">
        <v>43</v>
      </c>
      <c r="B47" s="153">
        <v>247.21</v>
      </c>
      <c r="C47" s="153"/>
      <c r="D47" s="153">
        <v>15.739999999999998</v>
      </c>
      <c r="E47" s="153"/>
      <c r="F47" s="153"/>
      <c r="G47" s="153">
        <v>0.34</v>
      </c>
      <c r="H47" s="153">
        <v>53.14</v>
      </c>
      <c r="I47" s="153">
        <v>35.04</v>
      </c>
      <c r="J47" s="153">
        <v>12.42</v>
      </c>
      <c r="K47" s="153">
        <v>23.57</v>
      </c>
      <c r="L47" s="153">
        <v>13.25</v>
      </c>
      <c r="M47" s="153">
        <v>7.26</v>
      </c>
      <c r="N47" s="153">
        <v>2.99</v>
      </c>
      <c r="O47" s="153">
        <v>38.630000000000003</v>
      </c>
      <c r="P47" s="153">
        <v>17.07</v>
      </c>
      <c r="Q47" s="153">
        <v>46.699999999999996</v>
      </c>
      <c r="R47" s="153">
        <v>44.85</v>
      </c>
      <c r="S47" s="153">
        <v>139.26999999999998</v>
      </c>
      <c r="T47" s="153">
        <v>72.029999999999987</v>
      </c>
      <c r="U47" s="153">
        <v>137.37999999999997</v>
      </c>
      <c r="V47" s="153">
        <v>68.08</v>
      </c>
      <c r="W47" s="153">
        <v>17.72</v>
      </c>
      <c r="X47" s="153"/>
      <c r="Y47" s="153">
        <v>992.69</v>
      </c>
      <c r="Z47" s="26">
        <f t="shared" si="1"/>
        <v>0.10393103441055425</v>
      </c>
      <c r="AB47" s="153">
        <f t="shared" si="2"/>
        <v>697.48</v>
      </c>
      <c r="AC47" s="153">
        <f t="shared" si="3"/>
        <v>295.20999999999992</v>
      </c>
      <c r="AD47" s="153">
        <f t="shared" si="4"/>
        <v>0</v>
      </c>
      <c r="AE47" s="153">
        <f t="shared" si="5"/>
        <v>992.68999999999994</v>
      </c>
      <c r="AF47" s="26">
        <f t="shared" si="6"/>
        <v>0.29738387613454348</v>
      </c>
    </row>
    <row r="48" spans="1:32" x14ac:dyDescent="0.25">
      <c r="A48" s="13" t="s">
        <v>44</v>
      </c>
      <c r="B48" s="153">
        <v>2.15</v>
      </c>
      <c r="C48" s="153">
        <v>10.67</v>
      </c>
      <c r="D48" s="153"/>
      <c r="E48" s="153"/>
      <c r="F48" s="153">
        <v>0.43</v>
      </c>
      <c r="G48" s="153">
        <v>1.47</v>
      </c>
      <c r="H48" s="153">
        <v>146.80000000000001</v>
      </c>
      <c r="I48" s="153">
        <v>74.14</v>
      </c>
      <c r="J48" s="153">
        <v>125.19</v>
      </c>
      <c r="K48" s="153">
        <v>25.46</v>
      </c>
      <c r="L48" s="153">
        <v>199.49</v>
      </c>
      <c r="M48" s="153">
        <v>3.42</v>
      </c>
      <c r="N48" s="153">
        <v>1.77</v>
      </c>
      <c r="O48" s="153">
        <v>1.05</v>
      </c>
      <c r="P48" s="153">
        <v>4.4000000000000004</v>
      </c>
      <c r="Q48" s="153">
        <v>34.339999999999996</v>
      </c>
      <c r="R48" s="153">
        <v>128.97999999999999</v>
      </c>
      <c r="S48" s="153">
        <v>198.60000000000002</v>
      </c>
      <c r="T48" s="153">
        <v>35.4</v>
      </c>
      <c r="U48" s="153">
        <v>26.259999999999998</v>
      </c>
      <c r="V48" s="153">
        <v>321.37</v>
      </c>
      <c r="W48" s="153">
        <v>32.71</v>
      </c>
      <c r="X48" s="153"/>
      <c r="Y48" s="153">
        <v>1374.1</v>
      </c>
      <c r="Z48" s="26">
        <f t="shared" si="1"/>
        <v>0.14386327492323139</v>
      </c>
      <c r="AB48" s="153">
        <f t="shared" si="2"/>
        <v>958.3599999999999</v>
      </c>
      <c r="AC48" s="153">
        <f t="shared" si="3"/>
        <v>415.73999999999995</v>
      </c>
      <c r="AD48" s="153">
        <f t="shared" si="4"/>
        <v>0</v>
      </c>
      <c r="AE48" s="153">
        <f t="shared" si="5"/>
        <v>1374.1</v>
      </c>
      <c r="AF48" s="26">
        <f t="shared" si="6"/>
        <v>0.30255439924314093</v>
      </c>
    </row>
    <row r="49" spans="1:32" x14ac:dyDescent="0.25">
      <c r="A49" s="44" t="s">
        <v>67</v>
      </c>
      <c r="B49" s="152">
        <f>SUM(B50:B53)</f>
        <v>4.04</v>
      </c>
      <c r="C49" s="152">
        <f t="shared" ref="C49:Y49" si="16">SUM(C50:C53)</f>
        <v>1.1000000000000001</v>
      </c>
      <c r="D49" s="152">
        <f t="shared" si="16"/>
        <v>0.05</v>
      </c>
      <c r="E49" s="152">
        <f t="shared" si="16"/>
        <v>1.1200000000000001</v>
      </c>
      <c r="F49" s="152">
        <f t="shared" si="16"/>
        <v>0.32</v>
      </c>
      <c r="G49" s="152">
        <f t="shared" si="16"/>
        <v>0.3</v>
      </c>
      <c r="H49" s="152">
        <f t="shared" si="16"/>
        <v>0.2</v>
      </c>
      <c r="I49" s="152">
        <f t="shared" si="16"/>
        <v>0</v>
      </c>
      <c r="J49" s="152">
        <f t="shared" si="16"/>
        <v>0</v>
      </c>
      <c r="K49" s="152">
        <f t="shared" si="16"/>
        <v>0.38</v>
      </c>
      <c r="L49" s="152">
        <f t="shared" si="16"/>
        <v>0</v>
      </c>
      <c r="M49" s="152">
        <f t="shared" si="16"/>
        <v>1.85</v>
      </c>
      <c r="N49" s="152">
        <f t="shared" si="16"/>
        <v>0</v>
      </c>
      <c r="O49" s="152">
        <f t="shared" si="16"/>
        <v>0</v>
      </c>
      <c r="P49" s="152">
        <f t="shared" si="16"/>
        <v>0.02</v>
      </c>
      <c r="Q49" s="152">
        <f t="shared" si="16"/>
        <v>3.0100000000000002</v>
      </c>
      <c r="R49" s="152">
        <f t="shared" si="16"/>
        <v>3.1300000000000003</v>
      </c>
      <c r="S49" s="152">
        <f t="shared" si="16"/>
        <v>0.15</v>
      </c>
      <c r="T49" s="152">
        <f t="shared" si="16"/>
        <v>0.37</v>
      </c>
      <c r="U49" s="152">
        <f t="shared" si="16"/>
        <v>0.43</v>
      </c>
      <c r="V49" s="152">
        <f t="shared" si="16"/>
        <v>1.79</v>
      </c>
      <c r="W49" s="152">
        <f t="shared" si="16"/>
        <v>1.24</v>
      </c>
      <c r="X49" s="152">
        <f t="shared" si="16"/>
        <v>1.31</v>
      </c>
      <c r="Y49" s="152">
        <f t="shared" si="16"/>
        <v>20.81</v>
      </c>
      <c r="Z49" s="46">
        <f t="shared" si="1"/>
        <v>2.1787313522687183E-3</v>
      </c>
      <c r="AB49" s="152">
        <f t="shared" si="2"/>
        <v>15.670000000000002</v>
      </c>
      <c r="AC49" s="152">
        <f t="shared" si="3"/>
        <v>3.83</v>
      </c>
      <c r="AD49" s="152">
        <f t="shared" si="4"/>
        <v>1.31</v>
      </c>
      <c r="AE49" s="152">
        <f t="shared" si="5"/>
        <v>20.81</v>
      </c>
      <c r="AF49" s="46">
        <f t="shared" si="6"/>
        <v>0.18404613166746758</v>
      </c>
    </row>
    <row r="50" spans="1:32" x14ac:dyDescent="0.25">
      <c r="A50" s="13" t="s">
        <v>68</v>
      </c>
      <c r="B50" s="153">
        <v>0.92999999999999994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>
        <v>0.1</v>
      </c>
      <c r="R50" s="153"/>
      <c r="S50" s="153"/>
      <c r="T50" s="153"/>
      <c r="U50" s="153"/>
      <c r="V50" s="153"/>
      <c r="W50" s="153">
        <v>0.87</v>
      </c>
      <c r="X50" s="153">
        <v>0.81</v>
      </c>
      <c r="Y50" s="153">
        <v>2.71</v>
      </c>
      <c r="Z50" s="26">
        <f t="shared" si="1"/>
        <v>2.8372714870966969E-4</v>
      </c>
      <c r="AB50" s="153">
        <f t="shared" si="2"/>
        <v>1.03</v>
      </c>
      <c r="AC50" s="153">
        <f t="shared" si="3"/>
        <v>0.87</v>
      </c>
      <c r="AD50" s="153">
        <f t="shared" si="4"/>
        <v>0.81</v>
      </c>
      <c r="AE50" s="153">
        <f t="shared" si="5"/>
        <v>2.71</v>
      </c>
      <c r="AF50" s="26">
        <f t="shared" si="6"/>
        <v>0.3210332103321033</v>
      </c>
    </row>
    <row r="51" spans="1:32" x14ac:dyDescent="0.25">
      <c r="A51" s="13" t="s">
        <v>69</v>
      </c>
      <c r="B51" s="153">
        <v>1.5100000000000002</v>
      </c>
      <c r="C51" s="153">
        <v>1.07</v>
      </c>
      <c r="D51" s="153"/>
      <c r="E51" s="153"/>
      <c r="F51" s="153">
        <v>0.32</v>
      </c>
      <c r="G51" s="153">
        <v>0.3</v>
      </c>
      <c r="H51" s="153">
        <v>0.15</v>
      </c>
      <c r="I51" s="153"/>
      <c r="J51" s="153"/>
      <c r="K51" s="153">
        <v>0.38</v>
      </c>
      <c r="L51" s="153"/>
      <c r="M51" s="153">
        <v>1.8</v>
      </c>
      <c r="N51" s="153"/>
      <c r="O51" s="153"/>
      <c r="P51" s="153"/>
      <c r="Q51" s="153">
        <v>2.91</v>
      </c>
      <c r="R51" s="153">
        <v>3.1300000000000003</v>
      </c>
      <c r="S51" s="153"/>
      <c r="T51" s="153">
        <v>0.3</v>
      </c>
      <c r="U51" s="153">
        <v>0.43</v>
      </c>
      <c r="V51" s="153">
        <v>1.65</v>
      </c>
      <c r="W51" s="153">
        <v>0.37</v>
      </c>
      <c r="X51" s="153">
        <v>0.04</v>
      </c>
      <c r="Y51" s="153">
        <v>14.36</v>
      </c>
      <c r="Z51" s="26">
        <f t="shared" si="1"/>
        <v>1.5034397990667367E-3</v>
      </c>
      <c r="AB51" s="153">
        <f t="shared" si="2"/>
        <v>11.57</v>
      </c>
      <c r="AC51" s="153">
        <f t="shared" si="3"/>
        <v>2.75</v>
      </c>
      <c r="AD51" s="153">
        <f t="shared" si="4"/>
        <v>0.04</v>
      </c>
      <c r="AE51" s="153">
        <f t="shared" si="5"/>
        <v>14.36</v>
      </c>
      <c r="AF51" s="26">
        <f t="shared" si="6"/>
        <v>0.1915041782729805</v>
      </c>
    </row>
    <row r="52" spans="1:32" x14ac:dyDescent="0.25">
      <c r="A52" s="13" t="s">
        <v>70</v>
      </c>
      <c r="B52" s="153">
        <v>0.54999999999999993</v>
      </c>
      <c r="C52" s="153">
        <v>0.03</v>
      </c>
      <c r="D52" s="153"/>
      <c r="E52" s="153"/>
      <c r="F52" s="153"/>
      <c r="G52" s="153"/>
      <c r="H52" s="153">
        <v>0.05</v>
      </c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>
        <v>0.15</v>
      </c>
      <c r="T52" s="153">
        <v>7.0000000000000007E-2</v>
      </c>
      <c r="U52" s="153"/>
      <c r="V52" s="153"/>
      <c r="W52" s="153"/>
      <c r="X52" s="153">
        <v>0.21</v>
      </c>
      <c r="Y52" s="153">
        <v>1.06</v>
      </c>
      <c r="Z52" s="26"/>
      <c r="AB52" s="153">
        <f t="shared" si="2"/>
        <v>0.78</v>
      </c>
      <c r="AC52" s="153">
        <f t="shared" si="3"/>
        <v>7.0000000000000007E-2</v>
      </c>
      <c r="AD52" s="153">
        <f t="shared" si="4"/>
        <v>0.21</v>
      </c>
      <c r="AE52" s="153">
        <f t="shared" si="5"/>
        <v>1.06</v>
      </c>
      <c r="AF52" s="26">
        <f t="shared" si="6"/>
        <v>6.6037735849056603E-2</v>
      </c>
    </row>
    <row r="53" spans="1:32" x14ac:dyDescent="0.25">
      <c r="A53" s="13" t="s">
        <v>71</v>
      </c>
      <c r="B53" s="153">
        <v>1.05</v>
      </c>
      <c r="C53" s="153"/>
      <c r="D53" s="153">
        <v>0.05</v>
      </c>
      <c r="E53" s="153">
        <v>1.1200000000000001</v>
      </c>
      <c r="F53" s="153"/>
      <c r="G53" s="153"/>
      <c r="H53" s="153"/>
      <c r="I53" s="153"/>
      <c r="J53" s="153"/>
      <c r="K53" s="153"/>
      <c r="L53" s="153"/>
      <c r="M53" s="153">
        <v>0.05</v>
      </c>
      <c r="N53" s="153"/>
      <c r="O53" s="153"/>
      <c r="P53" s="153">
        <v>0.02</v>
      </c>
      <c r="Q53" s="153"/>
      <c r="R53" s="153"/>
      <c r="S53" s="153"/>
      <c r="T53" s="153"/>
      <c r="U53" s="153"/>
      <c r="V53" s="153">
        <v>0.14000000000000001</v>
      </c>
      <c r="W53" s="153"/>
      <c r="X53" s="153">
        <v>0.25</v>
      </c>
      <c r="Y53" s="153">
        <v>2.68</v>
      </c>
      <c r="Z53" s="26">
        <f t="shared" ref="Z53:Z65" si="17">Y53/$Y$68</f>
        <v>2.8058625776454423E-4</v>
      </c>
      <c r="AB53" s="153">
        <f t="shared" si="2"/>
        <v>2.29</v>
      </c>
      <c r="AC53" s="153">
        <f t="shared" si="3"/>
        <v>0.14000000000000001</v>
      </c>
      <c r="AD53" s="153">
        <f t="shared" si="4"/>
        <v>0.25</v>
      </c>
      <c r="AE53" s="153">
        <f t="shared" si="5"/>
        <v>2.68</v>
      </c>
      <c r="AF53" s="26">
        <f t="shared" si="6"/>
        <v>5.2238805970149259E-2</v>
      </c>
    </row>
    <row r="54" spans="1:32" x14ac:dyDescent="0.25">
      <c r="A54" s="44" t="s">
        <v>75</v>
      </c>
      <c r="B54" s="152">
        <f>B55</f>
        <v>1.06</v>
      </c>
      <c r="C54" s="152">
        <f t="shared" ref="C54:Y54" si="18">C55</f>
        <v>0.96</v>
      </c>
      <c r="D54" s="152">
        <f t="shared" si="18"/>
        <v>0</v>
      </c>
      <c r="E54" s="152">
        <f t="shared" si="18"/>
        <v>0</v>
      </c>
      <c r="F54" s="152">
        <f t="shared" si="18"/>
        <v>0</v>
      </c>
      <c r="G54" s="152">
        <f t="shared" si="18"/>
        <v>0</v>
      </c>
      <c r="H54" s="152">
        <f t="shared" si="18"/>
        <v>0</v>
      </c>
      <c r="I54" s="152">
        <f t="shared" si="18"/>
        <v>0</v>
      </c>
      <c r="J54" s="152">
        <f t="shared" si="18"/>
        <v>0</v>
      </c>
      <c r="K54" s="152">
        <f t="shared" si="18"/>
        <v>0</v>
      </c>
      <c r="L54" s="152">
        <f t="shared" si="18"/>
        <v>0</v>
      </c>
      <c r="M54" s="152">
        <f t="shared" si="18"/>
        <v>0</v>
      </c>
      <c r="N54" s="152">
        <f t="shared" si="18"/>
        <v>0</v>
      </c>
      <c r="O54" s="152">
        <f t="shared" si="18"/>
        <v>0</v>
      </c>
      <c r="P54" s="152">
        <f t="shared" si="18"/>
        <v>0</v>
      </c>
      <c r="Q54" s="152">
        <f t="shared" si="18"/>
        <v>0</v>
      </c>
      <c r="R54" s="152">
        <f t="shared" si="18"/>
        <v>0</v>
      </c>
      <c r="S54" s="152">
        <f t="shared" si="18"/>
        <v>0.5</v>
      </c>
      <c r="T54" s="152">
        <f t="shared" si="18"/>
        <v>0</v>
      </c>
      <c r="U54" s="152">
        <f t="shared" si="18"/>
        <v>0</v>
      </c>
      <c r="V54" s="152">
        <f t="shared" si="18"/>
        <v>0</v>
      </c>
      <c r="W54" s="152">
        <f t="shared" si="18"/>
        <v>0.42</v>
      </c>
      <c r="X54" s="152">
        <f t="shared" si="18"/>
        <v>0</v>
      </c>
      <c r="Y54" s="152">
        <f t="shared" si="18"/>
        <v>2.94</v>
      </c>
      <c r="Z54" s="46">
        <f t="shared" si="17"/>
        <v>3.0780731262229849E-4</v>
      </c>
      <c r="AB54" s="152">
        <f t="shared" si="2"/>
        <v>2.52</v>
      </c>
      <c r="AC54" s="152">
        <f t="shared" si="3"/>
        <v>0.42</v>
      </c>
      <c r="AD54" s="152">
        <f t="shared" si="4"/>
        <v>0</v>
      </c>
      <c r="AE54" s="152">
        <f t="shared" si="5"/>
        <v>2.94</v>
      </c>
      <c r="AF54" s="46">
        <f t="shared" si="6"/>
        <v>0.14285714285714285</v>
      </c>
    </row>
    <row r="55" spans="1:32" x14ac:dyDescent="0.25">
      <c r="A55" s="13" t="s">
        <v>76</v>
      </c>
      <c r="B55" s="153">
        <v>1.06</v>
      </c>
      <c r="C55" s="153">
        <v>0.96</v>
      </c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>
        <v>0.5</v>
      </c>
      <c r="T55" s="153"/>
      <c r="U55" s="153"/>
      <c r="V55" s="153"/>
      <c r="W55" s="153">
        <v>0.42</v>
      </c>
      <c r="X55" s="153"/>
      <c r="Y55" s="153">
        <v>2.94</v>
      </c>
      <c r="Z55" s="26">
        <f t="shared" si="17"/>
        <v>3.0780731262229849E-4</v>
      </c>
      <c r="AB55" s="153">
        <f t="shared" si="2"/>
        <v>2.52</v>
      </c>
      <c r="AC55" s="153">
        <f t="shared" si="3"/>
        <v>0.42</v>
      </c>
      <c r="AD55" s="153">
        <f t="shared" si="4"/>
        <v>0</v>
      </c>
      <c r="AE55" s="153">
        <f t="shared" si="5"/>
        <v>2.94</v>
      </c>
      <c r="AF55" s="26">
        <f t="shared" si="6"/>
        <v>0.14285714285714285</v>
      </c>
    </row>
    <row r="56" spans="1:32" x14ac:dyDescent="0.25">
      <c r="A56" s="44" t="s">
        <v>55</v>
      </c>
      <c r="B56" s="152">
        <f>B57</f>
        <v>56.17</v>
      </c>
      <c r="C56" s="152">
        <f t="shared" ref="C56:Y56" si="19">C57</f>
        <v>17.319999999999997</v>
      </c>
      <c r="D56" s="152">
        <f t="shared" si="19"/>
        <v>0.55999999999999994</v>
      </c>
      <c r="E56" s="152">
        <f t="shared" si="19"/>
        <v>1.77</v>
      </c>
      <c r="F56" s="152">
        <f t="shared" si="19"/>
        <v>1.31</v>
      </c>
      <c r="G56" s="152">
        <f t="shared" si="19"/>
        <v>5.79</v>
      </c>
      <c r="H56" s="152">
        <f t="shared" si="19"/>
        <v>1.63</v>
      </c>
      <c r="I56" s="152">
        <f t="shared" si="19"/>
        <v>24.580000000000002</v>
      </c>
      <c r="J56" s="152">
        <f t="shared" si="19"/>
        <v>2.11</v>
      </c>
      <c r="K56" s="152">
        <f t="shared" si="19"/>
        <v>2.3600000000000003</v>
      </c>
      <c r="L56" s="152">
        <f t="shared" si="19"/>
        <v>4</v>
      </c>
      <c r="M56" s="152">
        <f t="shared" si="19"/>
        <v>5.17</v>
      </c>
      <c r="N56" s="152">
        <f t="shared" si="19"/>
        <v>4.16</v>
      </c>
      <c r="O56" s="152">
        <f t="shared" si="19"/>
        <v>1.06</v>
      </c>
      <c r="P56" s="152">
        <f t="shared" si="19"/>
        <v>1.1100000000000001</v>
      </c>
      <c r="Q56" s="152">
        <f t="shared" si="19"/>
        <v>1.1300000000000001</v>
      </c>
      <c r="R56" s="152">
        <f t="shared" si="19"/>
        <v>21.89</v>
      </c>
      <c r="S56" s="152">
        <f t="shared" si="19"/>
        <v>5.22</v>
      </c>
      <c r="T56" s="152">
        <f t="shared" si="19"/>
        <v>2.9000000000000004</v>
      </c>
      <c r="U56" s="152">
        <f t="shared" si="19"/>
        <v>1.37</v>
      </c>
      <c r="V56" s="152">
        <f t="shared" si="19"/>
        <v>5.66</v>
      </c>
      <c r="W56" s="152">
        <f t="shared" si="19"/>
        <v>1.88</v>
      </c>
      <c r="X56" s="152">
        <f t="shared" si="19"/>
        <v>0.56000000000000005</v>
      </c>
      <c r="Y56" s="152">
        <f t="shared" si="19"/>
        <v>169.71</v>
      </c>
      <c r="Z56" s="46">
        <f t="shared" si="17"/>
        <v>1.7768020076574926E-2</v>
      </c>
      <c r="AB56" s="152">
        <f t="shared" si="2"/>
        <v>157.34</v>
      </c>
      <c r="AC56" s="152">
        <f t="shared" si="3"/>
        <v>11.809999999999999</v>
      </c>
      <c r="AD56" s="152">
        <f t="shared" si="4"/>
        <v>0.56000000000000005</v>
      </c>
      <c r="AE56" s="152">
        <f t="shared" si="5"/>
        <v>169.71</v>
      </c>
      <c r="AF56" s="46">
        <f t="shared" si="6"/>
        <v>6.958929939308231E-2</v>
      </c>
    </row>
    <row r="57" spans="1:32" x14ac:dyDescent="0.25">
      <c r="A57" s="13" t="s">
        <v>45</v>
      </c>
      <c r="B57" s="153">
        <v>56.17</v>
      </c>
      <c r="C57" s="153">
        <v>17.319999999999997</v>
      </c>
      <c r="D57" s="153">
        <v>0.55999999999999994</v>
      </c>
      <c r="E57" s="153">
        <v>1.77</v>
      </c>
      <c r="F57" s="153">
        <v>1.31</v>
      </c>
      <c r="G57" s="153">
        <v>5.79</v>
      </c>
      <c r="H57" s="153">
        <v>1.63</v>
      </c>
      <c r="I57" s="153">
        <v>24.580000000000002</v>
      </c>
      <c r="J57" s="153">
        <v>2.11</v>
      </c>
      <c r="K57" s="153">
        <v>2.3600000000000003</v>
      </c>
      <c r="L57" s="153">
        <v>4</v>
      </c>
      <c r="M57" s="153">
        <v>5.17</v>
      </c>
      <c r="N57" s="153">
        <v>4.16</v>
      </c>
      <c r="O57" s="153">
        <v>1.06</v>
      </c>
      <c r="P57" s="153">
        <v>1.1100000000000001</v>
      </c>
      <c r="Q57" s="153">
        <v>1.1300000000000001</v>
      </c>
      <c r="R57" s="153">
        <v>21.89</v>
      </c>
      <c r="S57" s="153">
        <v>5.22</v>
      </c>
      <c r="T57" s="153">
        <v>2.9000000000000004</v>
      </c>
      <c r="U57" s="153">
        <v>1.37</v>
      </c>
      <c r="V57" s="153">
        <v>5.66</v>
      </c>
      <c r="W57" s="153">
        <v>1.88</v>
      </c>
      <c r="X57" s="153">
        <v>0.56000000000000005</v>
      </c>
      <c r="Y57" s="153">
        <v>169.71</v>
      </c>
      <c r="Z57" s="26">
        <f t="shared" si="17"/>
        <v>1.7768020076574926E-2</v>
      </c>
      <c r="AB57" s="153">
        <f t="shared" si="2"/>
        <v>157.34</v>
      </c>
      <c r="AC57" s="153">
        <f t="shared" si="3"/>
        <v>11.809999999999999</v>
      </c>
      <c r="AD57" s="153">
        <f t="shared" si="4"/>
        <v>0.56000000000000005</v>
      </c>
      <c r="AE57" s="153">
        <f t="shared" si="5"/>
        <v>169.71</v>
      </c>
      <c r="AF57" s="26">
        <f t="shared" si="6"/>
        <v>6.958929939308231E-2</v>
      </c>
    </row>
    <row r="58" spans="1:32" x14ac:dyDescent="0.25">
      <c r="A58" s="44" t="s">
        <v>80</v>
      </c>
      <c r="B58" s="152">
        <f>B59</f>
        <v>0.52</v>
      </c>
      <c r="C58" s="152">
        <f t="shared" ref="C58:Y58" si="20">C59</f>
        <v>0</v>
      </c>
      <c r="D58" s="152">
        <f t="shared" si="20"/>
        <v>0</v>
      </c>
      <c r="E58" s="152">
        <f t="shared" si="20"/>
        <v>0</v>
      </c>
      <c r="F58" s="152">
        <f t="shared" si="20"/>
        <v>0</v>
      </c>
      <c r="G58" s="152">
        <f t="shared" si="20"/>
        <v>0</v>
      </c>
      <c r="H58" s="152">
        <f t="shared" si="20"/>
        <v>0</v>
      </c>
      <c r="I58" s="152">
        <f t="shared" si="20"/>
        <v>0</v>
      </c>
      <c r="J58" s="152">
        <f t="shared" si="20"/>
        <v>0</v>
      </c>
      <c r="K58" s="152">
        <f t="shared" si="20"/>
        <v>0</v>
      </c>
      <c r="L58" s="152">
        <f t="shared" si="20"/>
        <v>0</v>
      </c>
      <c r="M58" s="152">
        <f t="shared" si="20"/>
        <v>0</v>
      </c>
      <c r="N58" s="152">
        <f t="shared" si="20"/>
        <v>0</v>
      </c>
      <c r="O58" s="152">
        <f t="shared" si="20"/>
        <v>0.91</v>
      </c>
      <c r="P58" s="152">
        <f t="shared" si="20"/>
        <v>0</v>
      </c>
      <c r="Q58" s="152">
        <f t="shared" si="20"/>
        <v>0</v>
      </c>
      <c r="R58" s="152">
        <f t="shared" si="20"/>
        <v>0</v>
      </c>
      <c r="S58" s="152">
        <f t="shared" si="20"/>
        <v>0</v>
      </c>
      <c r="T58" s="152">
        <f t="shared" si="20"/>
        <v>0</v>
      </c>
      <c r="U58" s="152">
        <f t="shared" si="20"/>
        <v>0.39</v>
      </c>
      <c r="V58" s="152">
        <f t="shared" si="20"/>
        <v>1.5</v>
      </c>
      <c r="W58" s="152">
        <f t="shared" si="20"/>
        <v>0</v>
      </c>
      <c r="X58" s="152">
        <f t="shared" si="20"/>
        <v>0.55000000000000004</v>
      </c>
      <c r="Y58" s="152">
        <f t="shared" si="20"/>
        <v>3.87</v>
      </c>
      <c r="Z58" s="46">
        <f t="shared" si="17"/>
        <v>4.0517493192118883E-4</v>
      </c>
      <c r="AB58" s="152">
        <f t="shared" si="2"/>
        <v>1.4300000000000002</v>
      </c>
      <c r="AC58" s="152">
        <f t="shared" si="3"/>
        <v>1.8900000000000001</v>
      </c>
      <c r="AD58" s="152">
        <f t="shared" si="4"/>
        <v>0.55000000000000004</v>
      </c>
      <c r="AE58" s="152">
        <f t="shared" si="5"/>
        <v>3.87</v>
      </c>
      <c r="AF58" s="46">
        <f t="shared" si="6"/>
        <v>0.48837209302325585</v>
      </c>
    </row>
    <row r="59" spans="1:32" x14ac:dyDescent="0.25">
      <c r="A59" s="13" t="s">
        <v>81</v>
      </c>
      <c r="B59" s="153">
        <v>0.52</v>
      </c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>
        <v>0.91</v>
      </c>
      <c r="P59" s="153"/>
      <c r="Q59" s="153"/>
      <c r="R59" s="153"/>
      <c r="S59" s="153"/>
      <c r="T59" s="153"/>
      <c r="U59" s="153">
        <v>0.39</v>
      </c>
      <c r="V59" s="153">
        <v>1.5</v>
      </c>
      <c r="W59" s="153"/>
      <c r="X59" s="153">
        <v>0.55000000000000004</v>
      </c>
      <c r="Y59" s="153">
        <v>3.87</v>
      </c>
      <c r="Z59" s="26">
        <f t="shared" si="17"/>
        <v>4.0517493192118883E-4</v>
      </c>
      <c r="AB59" s="153">
        <f t="shared" si="2"/>
        <v>1.4300000000000002</v>
      </c>
      <c r="AC59" s="153">
        <f t="shared" si="3"/>
        <v>1.8900000000000001</v>
      </c>
      <c r="AD59" s="153">
        <f t="shared" si="4"/>
        <v>0.55000000000000004</v>
      </c>
      <c r="AE59" s="153">
        <f t="shared" si="5"/>
        <v>3.87</v>
      </c>
      <c r="AF59" s="26">
        <f t="shared" si="6"/>
        <v>0.48837209302325585</v>
      </c>
    </row>
    <row r="60" spans="1:32" x14ac:dyDescent="0.25">
      <c r="A60" s="44" t="s">
        <v>56</v>
      </c>
      <c r="B60" s="152">
        <f>B61</f>
        <v>51.71</v>
      </c>
      <c r="C60" s="152">
        <f t="shared" ref="C60:Y60" si="21">C61</f>
        <v>6.88</v>
      </c>
      <c r="D60" s="152">
        <f t="shared" si="21"/>
        <v>7.82</v>
      </c>
      <c r="E60" s="152">
        <f t="shared" si="21"/>
        <v>0.31</v>
      </c>
      <c r="F60" s="152">
        <f t="shared" si="21"/>
        <v>0.98</v>
      </c>
      <c r="G60" s="152">
        <f t="shared" si="21"/>
        <v>1.01</v>
      </c>
      <c r="H60" s="152">
        <f t="shared" si="21"/>
        <v>3.7499999999999996</v>
      </c>
      <c r="I60" s="152">
        <f t="shared" si="21"/>
        <v>0</v>
      </c>
      <c r="J60" s="152">
        <f t="shared" si="21"/>
        <v>0.01</v>
      </c>
      <c r="K60" s="152">
        <f t="shared" si="21"/>
        <v>0.06</v>
      </c>
      <c r="L60" s="152">
        <f t="shared" si="21"/>
        <v>0.33999999999999997</v>
      </c>
      <c r="M60" s="152">
        <f t="shared" si="21"/>
        <v>2.23</v>
      </c>
      <c r="N60" s="152">
        <f t="shared" si="21"/>
        <v>0.36</v>
      </c>
      <c r="O60" s="152">
        <f t="shared" si="21"/>
        <v>1.35</v>
      </c>
      <c r="P60" s="152">
        <f t="shared" si="21"/>
        <v>4.72</v>
      </c>
      <c r="Q60" s="152">
        <f t="shared" si="21"/>
        <v>0.99</v>
      </c>
      <c r="R60" s="152">
        <f t="shared" si="21"/>
        <v>1.6400000000000001</v>
      </c>
      <c r="S60" s="152">
        <f t="shared" si="21"/>
        <v>4.1399999999999997</v>
      </c>
      <c r="T60" s="152">
        <f t="shared" si="21"/>
        <v>0.81</v>
      </c>
      <c r="U60" s="152">
        <f t="shared" si="21"/>
        <v>1.7599999999999998</v>
      </c>
      <c r="V60" s="152">
        <f t="shared" si="21"/>
        <v>0.52</v>
      </c>
      <c r="W60" s="152">
        <f t="shared" si="21"/>
        <v>0</v>
      </c>
      <c r="X60" s="152">
        <f t="shared" si="21"/>
        <v>0.03</v>
      </c>
      <c r="Y60" s="152">
        <f t="shared" si="21"/>
        <v>91.420000000000016</v>
      </c>
      <c r="Z60" s="46">
        <f t="shared" si="17"/>
        <v>9.5713416734457598E-3</v>
      </c>
      <c r="AB60" s="152">
        <f t="shared" si="2"/>
        <v>88.300000000000011</v>
      </c>
      <c r="AC60" s="152">
        <f t="shared" si="3"/>
        <v>3.09</v>
      </c>
      <c r="AD60" s="152">
        <f t="shared" si="4"/>
        <v>0.03</v>
      </c>
      <c r="AE60" s="152">
        <f t="shared" si="5"/>
        <v>91.420000000000016</v>
      </c>
      <c r="AF60" s="46">
        <f t="shared" si="6"/>
        <v>3.3800043754101942E-2</v>
      </c>
    </row>
    <row r="61" spans="1:32" x14ac:dyDescent="0.25">
      <c r="A61" s="13" t="s">
        <v>46</v>
      </c>
      <c r="B61" s="153">
        <v>51.71</v>
      </c>
      <c r="C61" s="153">
        <v>6.88</v>
      </c>
      <c r="D61" s="153">
        <v>7.82</v>
      </c>
      <c r="E61" s="153">
        <v>0.31</v>
      </c>
      <c r="F61" s="153">
        <v>0.98</v>
      </c>
      <c r="G61" s="153">
        <v>1.01</v>
      </c>
      <c r="H61" s="153">
        <v>3.7499999999999996</v>
      </c>
      <c r="I61" s="153"/>
      <c r="J61" s="153">
        <v>0.01</v>
      </c>
      <c r="K61" s="153">
        <v>0.06</v>
      </c>
      <c r="L61" s="153">
        <v>0.33999999999999997</v>
      </c>
      <c r="M61" s="153">
        <v>2.23</v>
      </c>
      <c r="N61" s="153">
        <v>0.36</v>
      </c>
      <c r="O61" s="153">
        <v>1.35</v>
      </c>
      <c r="P61" s="153">
        <v>4.72</v>
      </c>
      <c r="Q61" s="153">
        <v>0.99</v>
      </c>
      <c r="R61" s="153">
        <v>1.6400000000000001</v>
      </c>
      <c r="S61" s="153">
        <v>4.1399999999999997</v>
      </c>
      <c r="T61" s="153">
        <v>0.81</v>
      </c>
      <c r="U61" s="153">
        <v>1.7599999999999998</v>
      </c>
      <c r="V61" s="153">
        <v>0.52</v>
      </c>
      <c r="W61" s="153"/>
      <c r="X61" s="153">
        <v>0.03</v>
      </c>
      <c r="Y61" s="153">
        <v>91.420000000000016</v>
      </c>
      <c r="Z61" s="26">
        <f t="shared" si="17"/>
        <v>9.5713416734457598E-3</v>
      </c>
      <c r="AB61" s="153">
        <f t="shared" si="2"/>
        <v>88.300000000000011</v>
      </c>
      <c r="AC61" s="153">
        <f t="shared" si="3"/>
        <v>3.09</v>
      </c>
      <c r="AD61" s="153">
        <f t="shared" si="4"/>
        <v>0.03</v>
      </c>
      <c r="AE61" s="153">
        <f t="shared" si="5"/>
        <v>91.420000000000016</v>
      </c>
      <c r="AF61" s="26">
        <f t="shared" si="6"/>
        <v>3.3800043754101942E-2</v>
      </c>
    </row>
    <row r="62" spans="1:32" x14ac:dyDescent="0.25">
      <c r="A62" s="44" t="s">
        <v>57</v>
      </c>
      <c r="B62" s="152">
        <f>B63</f>
        <v>29.469999999999992</v>
      </c>
      <c r="C62" s="152">
        <f t="shared" ref="C62:Y62" si="22">C63</f>
        <v>5.77</v>
      </c>
      <c r="D62" s="152">
        <f t="shared" si="22"/>
        <v>0.65</v>
      </c>
      <c r="E62" s="152">
        <f t="shared" si="22"/>
        <v>0.59000000000000008</v>
      </c>
      <c r="F62" s="152">
        <f t="shared" si="22"/>
        <v>12.27</v>
      </c>
      <c r="G62" s="152">
        <f t="shared" si="22"/>
        <v>21.4</v>
      </c>
      <c r="H62" s="152">
        <f t="shared" si="22"/>
        <v>4.71</v>
      </c>
      <c r="I62" s="152">
        <f t="shared" si="22"/>
        <v>0.14000000000000001</v>
      </c>
      <c r="J62" s="152">
        <f t="shared" si="22"/>
        <v>5.0199999999999996</v>
      </c>
      <c r="K62" s="152">
        <f t="shared" si="22"/>
        <v>0.9</v>
      </c>
      <c r="L62" s="152">
        <f t="shared" si="22"/>
        <v>15.7</v>
      </c>
      <c r="M62" s="152">
        <f t="shared" si="22"/>
        <v>0.97</v>
      </c>
      <c r="N62" s="152">
        <f t="shared" si="22"/>
        <v>16.64</v>
      </c>
      <c r="O62" s="152">
        <f t="shared" si="22"/>
        <v>1.2</v>
      </c>
      <c r="P62" s="152">
        <f t="shared" si="22"/>
        <v>3.17</v>
      </c>
      <c r="Q62" s="152">
        <f t="shared" si="22"/>
        <v>3.81</v>
      </c>
      <c r="R62" s="152">
        <f t="shared" si="22"/>
        <v>18.29</v>
      </c>
      <c r="S62" s="152">
        <f t="shared" si="22"/>
        <v>7.97</v>
      </c>
      <c r="T62" s="152">
        <f t="shared" si="22"/>
        <v>13.18</v>
      </c>
      <c r="U62" s="152">
        <f t="shared" si="22"/>
        <v>10.319999999999999</v>
      </c>
      <c r="V62" s="152">
        <f t="shared" si="22"/>
        <v>5.52</v>
      </c>
      <c r="W62" s="152">
        <f t="shared" si="22"/>
        <v>3.6199999999999997</v>
      </c>
      <c r="X62" s="152">
        <f t="shared" si="22"/>
        <v>0.82</v>
      </c>
      <c r="Y62" s="152">
        <f t="shared" si="22"/>
        <v>182.13000000000002</v>
      </c>
      <c r="Z62" s="46">
        <f t="shared" si="17"/>
        <v>1.906834892785688E-2</v>
      </c>
      <c r="AB62" s="152">
        <f t="shared" si="2"/>
        <v>148.67000000000002</v>
      </c>
      <c r="AC62" s="152">
        <f t="shared" si="3"/>
        <v>32.64</v>
      </c>
      <c r="AD62" s="152">
        <f t="shared" si="4"/>
        <v>0.82</v>
      </c>
      <c r="AE62" s="152">
        <f t="shared" si="5"/>
        <v>182.13</v>
      </c>
      <c r="AF62" s="46">
        <f t="shared" si="6"/>
        <v>0.17921265030472741</v>
      </c>
    </row>
    <row r="63" spans="1:32" x14ac:dyDescent="0.25">
      <c r="A63" s="13" t="s">
        <v>47</v>
      </c>
      <c r="B63" s="153">
        <v>29.469999999999992</v>
      </c>
      <c r="C63" s="153">
        <v>5.77</v>
      </c>
      <c r="D63" s="153">
        <v>0.65</v>
      </c>
      <c r="E63" s="153">
        <v>0.59000000000000008</v>
      </c>
      <c r="F63" s="153">
        <v>12.27</v>
      </c>
      <c r="G63" s="153">
        <v>21.4</v>
      </c>
      <c r="H63" s="153">
        <v>4.71</v>
      </c>
      <c r="I63" s="153">
        <v>0.14000000000000001</v>
      </c>
      <c r="J63" s="153">
        <v>5.0199999999999996</v>
      </c>
      <c r="K63" s="153">
        <v>0.9</v>
      </c>
      <c r="L63" s="153">
        <v>15.7</v>
      </c>
      <c r="M63" s="153">
        <v>0.97</v>
      </c>
      <c r="N63" s="153">
        <v>16.64</v>
      </c>
      <c r="O63" s="153">
        <v>1.2</v>
      </c>
      <c r="P63" s="153">
        <v>3.17</v>
      </c>
      <c r="Q63" s="153">
        <v>3.81</v>
      </c>
      <c r="R63" s="153">
        <v>18.29</v>
      </c>
      <c r="S63" s="153">
        <v>7.97</v>
      </c>
      <c r="T63" s="153">
        <v>13.18</v>
      </c>
      <c r="U63" s="153">
        <v>10.319999999999999</v>
      </c>
      <c r="V63" s="153">
        <v>5.52</v>
      </c>
      <c r="W63" s="153">
        <v>3.6199999999999997</v>
      </c>
      <c r="X63" s="153">
        <v>0.82</v>
      </c>
      <c r="Y63" s="153">
        <v>182.13000000000002</v>
      </c>
      <c r="Z63" s="26">
        <f t="shared" si="17"/>
        <v>1.906834892785688E-2</v>
      </c>
      <c r="AB63" s="153">
        <f t="shared" si="2"/>
        <v>148.67000000000002</v>
      </c>
      <c r="AC63" s="153">
        <f t="shared" si="3"/>
        <v>32.64</v>
      </c>
      <c r="AD63" s="153">
        <f t="shared" si="4"/>
        <v>0.82</v>
      </c>
      <c r="AE63" s="153">
        <f t="shared" si="5"/>
        <v>182.13</v>
      </c>
      <c r="AF63" s="26">
        <f t="shared" si="6"/>
        <v>0.17921265030472741</v>
      </c>
    </row>
    <row r="64" spans="1:32" x14ac:dyDescent="0.25">
      <c r="A64" s="44" t="s">
        <v>58</v>
      </c>
      <c r="B64" s="152">
        <f>SUM(B65:B67)</f>
        <v>52.46</v>
      </c>
      <c r="C64" s="152">
        <f t="shared" ref="C64:Y64" si="23">SUM(C65:C67)</f>
        <v>7.26</v>
      </c>
      <c r="D64" s="152">
        <f t="shared" si="23"/>
        <v>0</v>
      </c>
      <c r="E64" s="152">
        <f t="shared" si="23"/>
        <v>0.61</v>
      </c>
      <c r="F64" s="152">
        <f t="shared" si="23"/>
        <v>0.87000000000000011</v>
      </c>
      <c r="G64" s="152">
        <f t="shared" si="23"/>
        <v>2.9000000000000004</v>
      </c>
      <c r="H64" s="152">
        <f t="shared" si="23"/>
        <v>1.2</v>
      </c>
      <c r="I64" s="152">
        <f t="shared" si="23"/>
        <v>1.1200000000000001</v>
      </c>
      <c r="J64" s="152">
        <f t="shared" si="23"/>
        <v>1.6900000000000002</v>
      </c>
      <c r="K64" s="152">
        <f t="shared" si="23"/>
        <v>1.41</v>
      </c>
      <c r="L64" s="152">
        <f t="shared" si="23"/>
        <v>2.71</v>
      </c>
      <c r="M64" s="152">
        <f t="shared" si="23"/>
        <v>1.25</v>
      </c>
      <c r="N64" s="152">
        <f t="shared" si="23"/>
        <v>0.43</v>
      </c>
      <c r="O64" s="152">
        <f t="shared" si="23"/>
        <v>1.7199999999999998</v>
      </c>
      <c r="P64" s="152">
        <f t="shared" si="23"/>
        <v>0.6</v>
      </c>
      <c r="Q64" s="152">
        <f t="shared" si="23"/>
        <v>0.65999999999999992</v>
      </c>
      <c r="R64" s="152">
        <f t="shared" si="23"/>
        <v>0.74</v>
      </c>
      <c r="S64" s="152">
        <f t="shared" si="23"/>
        <v>0.36</v>
      </c>
      <c r="T64" s="152">
        <f t="shared" si="23"/>
        <v>2.66</v>
      </c>
      <c r="U64" s="152">
        <f t="shared" si="23"/>
        <v>5.87</v>
      </c>
      <c r="V64" s="152">
        <f t="shared" si="23"/>
        <v>7.26</v>
      </c>
      <c r="W64" s="152">
        <f t="shared" si="23"/>
        <v>0.74</v>
      </c>
      <c r="X64" s="152">
        <f t="shared" si="23"/>
        <v>1.29</v>
      </c>
      <c r="Y64" s="152">
        <f t="shared" si="23"/>
        <v>95.809999999999988</v>
      </c>
      <c r="Z64" s="46">
        <f t="shared" si="17"/>
        <v>1.0030958715082455E-2</v>
      </c>
      <c r="AB64" s="152">
        <f t="shared" si="2"/>
        <v>77.989999999999981</v>
      </c>
      <c r="AC64" s="152">
        <f t="shared" si="3"/>
        <v>16.53</v>
      </c>
      <c r="AD64" s="152">
        <f t="shared" si="4"/>
        <v>1.29</v>
      </c>
      <c r="AE64" s="152">
        <f t="shared" si="5"/>
        <v>95.809999999999988</v>
      </c>
      <c r="AF64" s="46">
        <f t="shared" si="6"/>
        <v>0.17252896357373973</v>
      </c>
    </row>
    <row r="65" spans="1:32" x14ac:dyDescent="0.25">
      <c r="A65" s="13" t="s">
        <v>48</v>
      </c>
      <c r="B65" s="153">
        <v>4.08</v>
      </c>
      <c r="C65" s="153">
        <v>0.51</v>
      </c>
      <c r="D65" s="153"/>
      <c r="E65" s="153"/>
      <c r="F65" s="153">
        <v>0.56000000000000005</v>
      </c>
      <c r="G65" s="153">
        <v>0.78</v>
      </c>
      <c r="H65" s="153">
        <v>0.91999999999999993</v>
      </c>
      <c r="I65" s="153">
        <v>0.68</v>
      </c>
      <c r="J65" s="153">
        <v>0.09</v>
      </c>
      <c r="K65" s="153">
        <v>0.25</v>
      </c>
      <c r="L65" s="153">
        <v>0.53</v>
      </c>
      <c r="M65" s="153">
        <v>0.17</v>
      </c>
      <c r="N65" s="153"/>
      <c r="O65" s="153">
        <v>0.82</v>
      </c>
      <c r="P65" s="153">
        <v>0.12</v>
      </c>
      <c r="Q65" s="153">
        <v>0.09</v>
      </c>
      <c r="R65" s="153">
        <v>0.05</v>
      </c>
      <c r="S65" s="153">
        <v>0.21</v>
      </c>
      <c r="T65" s="153">
        <v>0.4</v>
      </c>
      <c r="U65" s="153">
        <v>4.96</v>
      </c>
      <c r="V65" s="153">
        <v>7.26</v>
      </c>
      <c r="W65" s="153">
        <v>0.74</v>
      </c>
      <c r="X65" s="153">
        <v>0.11</v>
      </c>
      <c r="Y65" s="153">
        <v>23.330000000000002</v>
      </c>
      <c r="Z65" s="26">
        <f t="shared" si="17"/>
        <v>2.4425661916592598E-3</v>
      </c>
      <c r="AB65" s="153">
        <f t="shared" si="2"/>
        <v>9.8600000000000012</v>
      </c>
      <c r="AC65" s="153">
        <f t="shared" si="3"/>
        <v>13.360000000000001</v>
      </c>
      <c r="AD65" s="153">
        <f t="shared" si="4"/>
        <v>0.11</v>
      </c>
      <c r="AE65" s="153">
        <f t="shared" si="5"/>
        <v>23.330000000000002</v>
      </c>
      <c r="AF65" s="26">
        <f t="shared" si="6"/>
        <v>0.57265323617659669</v>
      </c>
    </row>
    <row r="66" spans="1:32" x14ac:dyDescent="0.25">
      <c r="A66" s="13" t="s">
        <v>72</v>
      </c>
      <c r="B66" s="153">
        <v>48.11</v>
      </c>
      <c r="C66" s="153">
        <v>5.65</v>
      </c>
      <c r="D66" s="153"/>
      <c r="E66" s="153">
        <v>0.61</v>
      </c>
      <c r="F66" s="153">
        <v>0.31</v>
      </c>
      <c r="G66" s="153">
        <v>2.12</v>
      </c>
      <c r="H66" s="153">
        <v>0.28000000000000003</v>
      </c>
      <c r="I66" s="153">
        <v>0.44</v>
      </c>
      <c r="J66" s="153">
        <v>1.6</v>
      </c>
      <c r="K66" s="153">
        <v>1.1599999999999999</v>
      </c>
      <c r="L66" s="153">
        <v>1.61</v>
      </c>
      <c r="M66" s="153">
        <v>1.08</v>
      </c>
      <c r="N66" s="153">
        <v>0.43</v>
      </c>
      <c r="O66" s="153">
        <v>0.77</v>
      </c>
      <c r="P66" s="153">
        <v>0.48</v>
      </c>
      <c r="Q66" s="153">
        <v>0.56999999999999995</v>
      </c>
      <c r="R66" s="153">
        <v>0.46</v>
      </c>
      <c r="S66" s="153">
        <v>0.15</v>
      </c>
      <c r="T66" s="153">
        <v>0.56000000000000005</v>
      </c>
      <c r="U66" s="153">
        <v>0.91</v>
      </c>
      <c r="V66" s="153"/>
      <c r="W66" s="153"/>
      <c r="X66" s="153">
        <v>1.18</v>
      </c>
      <c r="Y66" s="153">
        <v>68.47999999999999</v>
      </c>
      <c r="Z66" s="26"/>
      <c r="AB66" s="153">
        <f t="shared" si="2"/>
        <v>65.829999999999984</v>
      </c>
      <c r="AC66" s="153">
        <f t="shared" si="3"/>
        <v>1.4700000000000002</v>
      </c>
      <c r="AD66" s="153">
        <f t="shared" si="4"/>
        <v>1.18</v>
      </c>
      <c r="AE66" s="153">
        <f t="shared" si="5"/>
        <v>68.47999999999999</v>
      </c>
      <c r="AF66" s="26">
        <f t="shared" si="6"/>
        <v>2.146612149532711E-2</v>
      </c>
    </row>
    <row r="67" spans="1:32" x14ac:dyDescent="0.25">
      <c r="A67" s="151" t="s">
        <v>73</v>
      </c>
      <c r="B67" s="153">
        <v>0.27</v>
      </c>
      <c r="C67" s="153">
        <v>1.1000000000000001</v>
      </c>
      <c r="D67" s="153"/>
      <c r="E67" s="153"/>
      <c r="F67" s="153"/>
      <c r="G67" s="153"/>
      <c r="H67" s="153"/>
      <c r="I67" s="153"/>
      <c r="J67" s="153"/>
      <c r="K67" s="153"/>
      <c r="L67" s="153">
        <v>0.56999999999999995</v>
      </c>
      <c r="M67" s="153"/>
      <c r="N67" s="153"/>
      <c r="O67" s="153">
        <v>0.13</v>
      </c>
      <c r="P67" s="153"/>
      <c r="Q67" s="153"/>
      <c r="R67" s="153">
        <v>0.23</v>
      </c>
      <c r="S67" s="153"/>
      <c r="T67" s="153">
        <v>1.7</v>
      </c>
      <c r="U67" s="153"/>
      <c r="V67" s="153"/>
      <c r="W67" s="153"/>
      <c r="X67" s="153"/>
      <c r="Y67" s="153">
        <v>4</v>
      </c>
      <c r="Z67" s="26">
        <f>Y67/$Y$68</f>
        <v>4.1878545935006598E-4</v>
      </c>
      <c r="AB67" s="153">
        <f t="shared" si="2"/>
        <v>2.2999999999999998</v>
      </c>
      <c r="AC67" s="153">
        <f t="shared" si="3"/>
        <v>1.7</v>
      </c>
      <c r="AD67" s="153">
        <f t="shared" si="4"/>
        <v>0</v>
      </c>
      <c r="AE67" s="153">
        <f t="shared" si="5"/>
        <v>4</v>
      </c>
      <c r="AF67" s="26">
        <f t="shared" si="6"/>
        <v>0.42499999999999999</v>
      </c>
    </row>
    <row r="68" spans="1:32" x14ac:dyDescent="0.25">
      <c r="A68" s="47" t="s">
        <v>59</v>
      </c>
      <c r="B68" s="154">
        <v>2116.1299999999997</v>
      </c>
      <c r="C68" s="154">
        <v>316.98999999999995</v>
      </c>
      <c r="D68" s="154">
        <v>102.85</v>
      </c>
      <c r="E68" s="154">
        <v>66.94</v>
      </c>
      <c r="F68" s="154">
        <v>54.510000000000005</v>
      </c>
      <c r="G68" s="154">
        <v>183.03000000000003</v>
      </c>
      <c r="H68" s="154">
        <v>408.73999999999995</v>
      </c>
      <c r="I68" s="154">
        <v>332.21</v>
      </c>
      <c r="J68" s="154">
        <v>278.67</v>
      </c>
      <c r="K68" s="154">
        <v>142.25000000000003</v>
      </c>
      <c r="L68" s="154">
        <v>357.68999999999994</v>
      </c>
      <c r="M68" s="154">
        <v>208.59999999999997</v>
      </c>
      <c r="N68" s="154">
        <v>118.96</v>
      </c>
      <c r="O68" s="154">
        <v>171.97000000000003</v>
      </c>
      <c r="P68" s="154">
        <v>169.55</v>
      </c>
      <c r="Q68" s="154">
        <v>322.08</v>
      </c>
      <c r="R68" s="154">
        <v>647.12</v>
      </c>
      <c r="S68" s="154">
        <v>966.70999999999992</v>
      </c>
      <c r="T68" s="154">
        <v>669.59999999999991</v>
      </c>
      <c r="U68" s="154">
        <v>685.82999999999993</v>
      </c>
      <c r="V68" s="154">
        <v>816.62</v>
      </c>
      <c r="W68" s="154">
        <v>382.26</v>
      </c>
      <c r="X68" s="154">
        <v>32.119999999999997</v>
      </c>
      <c r="Y68" s="154">
        <v>9551.4299999999985</v>
      </c>
      <c r="Z68" s="55">
        <f>Y68/$Y$68</f>
        <v>1</v>
      </c>
      <c r="AB68" s="154">
        <f t="shared" si="2"/>
        <v>6965</v>
      </c>
      <c r="AC68" s="154">
        <f t="shared" si="3"/>
        <v>2554.3099999999995</v>
      </c>
      <c r="AD68" s="154">
        <f t="shared" si="4"/>
        <v>32.119999999999997</v>
      </c>
      <c r="AE68" s="154">
        <f t="shared" si="5"/>
        <v>9551.43</v>
      </c>
      <c r="AF68" s="55">
        <f>AC68/AE68</f>
        <v>0.26742697166811663</v>
      </c>
    </row>
    <row r="69" spans="1:32" x14ac:dyDescent="0.25">
      <c r="A69" s="151" t="s">
        <v>289</v>
      </c>
      <c r="C69" s="162">
        <f>B68+C68</f>
        <v>2433.1199999999994</v>
      </c>
      <c r="D69" s="162">
        <f>C69+D68</f>
        <v>2535.9699999999993</v>
      </c>
      <c r="E69" s="162">
        <f t="shared" ref="E69:W69" si="24">D69+E68</f>
        <v>2602.9099999999994</v>
      </c>
      <c r="F69" s="162">
        <f t="shared" si="24"/>
        <v>2657.4199999999996</v>
      </c>
      <c r="G69" s="162">
        <f t="shared" si="24"/>
        <v>2840.45</v>
      </c>
      <c r="H69" s="162">
        <f t="shared" si="24"/>
        <v>3249.1899999999996</v>
      </c>
      <c r="I69" s="162">
        <f t="shared" si="24"/>
        <v>3581.3999999999996</v>
      </c>
      <c r="J69" s="162">
        <f t="shared" si="24"/>
        <v>3860.0699999999997</v>
      </c>
      <c r="K69" s="162">
        <f t="shared" si="24"/>
        <v>4002.3199999999997</v>
      </c>
      <c r="L69" s="162">
        <f t="shared" si="24"/>
        <v>4360.0099999999993</v>
      </c>
      <c r="M69" s="162">
        <f t="shared" si="24"/>
        <v>4568.6099999999997</v>
      </c>
      <c r="N69" s="162">
        <f t="shared" si="24"/>
        <v>4687.57</v>
      </c>
      <c r="O69" s="162">
        <f t="shared" si="24"/>
        <v>4859.54</v>
      </c>
      <c r="P69" s="162">
        <f t="shared" si="24"/>
        <v>5029.09</v>
      </c>
      <c r="Q69" s="162">
        <f t="shared" si="24"/>
        <v>5351.17</v>
      </c>
      <c r="R69" s="162">
        <f t="shared" si="24"/>
        <v>5998.29</v>
      </c>
      <c r="S69" s="162">
        <f t="shared" si="24"/>
        <v>6965</v>
      </c>
      <c r="T69" s="162">
        <f t="shared" si="24"/>
        <v>7634.6</v>
      </c>
      <c r="U69" s="162">
        <f t="shared" si="24"/>
        <v>8320.43</v>
      </c>
      <c r="V69" s="162">
        <f t="shared" si="24"/>
        <v>9137.0500000000011</v>
      </c>
      <c r="W69" s="162">
        <f t="shared" si="24"/>
        <v>9519.3100000000013</v>
      </c>
      <c r="AC69" s="162">
        <f>SUM(S68:W68)</f>
        <v>3521.0199999999995</v>
      </c>
      <c r="AF69" s="55">
        <f>AC69/AE68</f>
        <v>0.36863799452019219</v>
      </c>
    </row>
    <row r="70" spans="1:32" x14ac:dyDescent="0.25">
      <c r="A70" s="151" t="s">
        <v>290</v>
      </c>
      <c r="D70" s="165">
        <f>D69/C69-1</f>
        <v>4.2270829223383988E-2</v>
      </c>
      <c r="E70" s="165">
        <f t="shared" ref="E70:W70" si="25">E69/D69-1</f>
        <v>2.6396211311648043E-2</v>
      </c>
      <c r="F70" s="165">
        <f t="shared" si="25"/>
        <v>2.094194574533903E-2</v>
      </c>
      <c r="G70" s="165">
        <f t="shared" si="25"/>
        <v>6.8875074320205343E-2</v>
      </c>
      <c r="H70" s="165">
        <f t="shared" si="25"/>
        <v>0.14389973419704627</v>
      </c>
      <c r="I70" s="165">
        <f t="shared" si="25"/>
        <v>0.10224394387524272</v>
      </c>
      <c r="J70" s="165">
        <f t="shared" si="25"/>
        <v>7.7810353493047435E-2</v>
      </c>
      <c r="K70" s="165">
        <f t="shared" si="25"/>
        <v>3.6851663311805227E-2</v>
      </c>
      <c r="L70" s="165">
        <f t="shared" si="25"/>
        <v>8.9370665014291584E-2</v>
      </c>
      <c r="M70" s="165">
        <f t="shared" si="25"/>
        <v>4.7843926963470285E-2</v>
      </c>
      <c r="N70" s="165">
        <f t="shared" si="25"/>
        <v>2.6038554396194957E-2</v>
      </c>
      <c r="O70" s="165">
        <f t="shared" si="25"/>
        <v>3.6686385483310158E-2</v>
      </c>
      <c r="P70" s="165">
        <f t="shared" si="25"/>
        <v>3.4890133634047693E-2</v>
      </c>
      <c r="Q70" s="165">
        <f t="shared" si="25"/>
        <v>6.4043395524836511E-2</v>
      </c>
      <c r="R70" s="165">
        <f t="shared" si="25"/>
        <v>0.12093056284887238</v>
      </c>
      <c r="S70" s="165">
        <f t="shared" si="25"/>
        <v>0.1611642651489007</v>
      </c>
      <c r="T70" s="165">
        <f t="shared" si="25"/>
        <v>9.613783201722903E-2</v>
      </c>
      <c r="U70" s="165">
        <f t="shared" si="25"/>
        <v>8.9831818300893262E-2</v>
      </c>
      <c r="V70" s="165">
        <f t="shared" si="25"/>
        <v>9.8146369839059E-2</v>
      </c>
      <c r="W70" s="165">
        <f t="shared" si="25"/>
        <v>4.1836260062054986E-2</v>
      </c>
    </row>
    <row r="72" spans="1:32" ht="15.75" x14ac:dyDescent="0.25">
      <c r="A72" s="40" t="s">
        <v>94</v>
      </c>
      <c r="B72" s="41" t="s">
        <v>88</v>
      </c>
      <c r="C72" s="41">
        <v>2000</v>
      </c>
      <c r="D72" s="41">
        <v>2001</v>
      </c>
      <c r="E72" s="41">
        <v>2002</v>
      </c>
      <c r="F72" s="41">
        <v>2003</v>
      </c>
      <c r="G72" s="41">
        <v>2004</v>
      </c>
      <c r="H72" s="41">
        <v>2005</v>
      </c>
      <c r="I72" s="41">
        <v>2006</v>
      </c>
      <c r="J72" s="41">
        <v>2007</v>
      </c>
      <c r="K72" s="41">
        <v>2008</v>
      </c>
      <c r="L72" s="41">
        <v>2009</v>
      </c>
      <c r="M72" s="41">
        <v>2010</v>
      </c>
      <c r="N72" s="41">
        <v>2011</v>
      </c>
      <c r="O72" s="41">
        <v>2012</v>
      </c>
      <c r="P72" s="41">
        <v>2013</v>
      </c>
      <c r="Q72" s="41">
        <v>2014</v>
      </c>
      <c r="R72" s="41">
        <v>2015</v>
      </c>
      <c r="S72" s="41">
        <v>2016</v>
      </c>
      <c r="T72" s="41">
        <v>2017</v>
      </c>
      <c r="U72" s="41">
        <v>2018</v>
      </c>
      <c r="V72" s="41">
        <v>2019</v>
      </c>
      <c r="W72" s="41">
        <v>2020</v>
      </c>
      <c r="X72" s="42" t="s">
        <v>89</v>
      </c>
    </row>
    <row r="73" spans="1:32" x14ac:dyDescent="0.25">
      <c r="A73" s="43" t="s">
        <v>49</v>
      </c>
      <c r="B73" s="26">
        <f>B4/$Y$4</f>
        <v>0.23650869898074073</v>
      </c>
      <c r="C73" s="26">
        <f t="shared" ref="C73:W73" si="26">C4/$Y$4</f>
        <v>1.9814761997688276E-2</v>
      </c>
      <c r="D73" s="26">
        <f t="shared" si="26"/>
        <v>4.3607487578245794E-3</v>
      </c>
      <c r="E73" s="26">
        <f t="shared" si="26"/>
        <v>8.894126123962353E-3</v>
      </c>
      <c r="F73" s="26">
        <f t="shared" si="26"/>
        <v>8.7064863323175784E-4</v>
      </c>
      <c r="G73" s="26">
        <f t="shared" si="26"/>
        <v>1.0095020790488914E-2</v>
      </c>
      <c r="H73" s="26">
        <f t="shared" si="26"/>
        <v>1.0560367473767956E-2</v>
      </c>
      <c r="I73" s="26">
        <f t="shared" si="26"/>
        <v>7.9769428224026911E-2</v>
      </c>
      <c r="J73" s="26">
        <f t="shared" si="26"/>
        <v>4.6985003827851755E-3</v>
      </c>
      <c r="K73" s="26">
        <f t="shared" si="26"/>
        <v>8.9091373072939361E-3</v>
      </c>
      <c r="L73" s="26">
        <f t="shared" si="26"/>
        <v>4.9687016827536529E-3</v>
      </c>
      <c r="M73" s="26">
        <f t="shared" si="26"/>
        <v>2.1923833255775554E-2</v>
      </c>
      <c r="N73" s="26">
        <f t="shared" si="26"/>
        <v>1.2864584115165801E-2</v>
      </c>
      <c r="O73" s="26">
        <f t="shared" si="26"/>
        <v>3.1035621538045847E-2</v>
      </c>
      <c r="P73" s="26">
        <f t="shared" si="26"/>
        <v>2.485101400543405E-2</v>
      </c>
      <c r="Q73" s="26">
        <f t="shared" si="26"/>
        <v>2.2644370055691494E-2</v>
      </c>
      <c r="R73" s="26">
        <f t="shared" si="26"/>
        <v>8.5083387123406948E-2</v>
      </c>
      <c r="S73" s="26">
        <f t="shared" si="26"/>
        <v>8.6757134064878352E-2</v>
      </c>
      <c r="T73" s="26">
        <f t="shared" si="26"/>
        <v>0.12755002476845251</v>
      </c>
      <c r="U73" s="26">
        <f t="shared" si="26"/>
        <v>7.8433432907516101E-2</v>
      </c>
      <c r="V73" s="26">
        <f t="shared" si="26"/>
        <v>3.9194199678760686E-2</v>
      </c>
      <c r="W73" s="26">
        <f t="shared" si="26"/>
        <v>7.9296575949082071E-2</v>
      </c>
      <c r="X73" s="52">
        <f>X4/Y4</f>
        <v>9.1568218322650376E-4</v>
      </c>
    </row>
    <row r="74" spans="1:32" x14ac:dyDescent="0.25">
      <c r="A74" s="43" t="s">
        <v>50</v>
      </c>
      <c r="B74" s="26">
        <f>B13/$Y$13</f>
        <v>7.8770562138279793E-2</v>
      </c>
      <c r="C74" s="26">
        <f t="shared" ref="C74:W74" si="27">C13/$Y$13</f>
        <v>1.1237288445036787E-2</v>
      </c>
      <c r="D74" s="26">
        <f t="shared" si="27"/>
        <v>3.3684479579354789E-3</v>
      </c>
      <c r="E74" s="26">
        <f t="shared" si="27"/>
        <v>9.6124002702061232E-3</v>
      </c>
      <c r="F74" s="26">
        <f t="shared" si="27"/>
        <v>1.396673543534223E-3</v>
      </c>
      <c r="G74" s="26">
        <f t="shared" si="27"/>
        <v>6.3352381647892213E-3</v>
      </c>
      <c r="H74" s="26">
        <f t="shared" si="27"/>
        <v>2.2629762839355156E-2</v>
      </c>
      <c r="I74" s="26">
        <f t="shared" si="27"/>
        <v>2.7504427363847145E-2</v>
      </c>
      <c r="J74" s="26">
        <f t="shared" si="27"/>
        <v>8.6721559892647838E-3</v>
      </c>
      <c r="K74" s="26">
        <f t="shared" si="27"/>
        <v>9.5941430997024072E-3</v>
      </c>
      <c r="L74" s="26">
        <f t="shared" si="27"/>
        <v>1.7581655195077869E-2</v>
      </c>
      <c r="M74" s="26">
        <f t="shared" si="27"/>
        <v>1.2907819546126742E-2</v>
      </c>
      <c r="N74" s="26">
        <f t="shared" si="27"/>
        <v>1.1264674200792361E-2</v>
      </c>
      <c r="O74" s="26">
        <f t="shared" si="27"/>
        <v>1.1593303269859237E-2</v>
      </c>
      <c r="P74" s="26">
        <f t="shared" si="27"/>
        <v>4.4364924324028264E-3</v>
      </c>
      <c r="Q74" s="26">
        <f t="shared" si="27"/>
        <v>6.9605462545414706E-2</v>
      </c>
      <c r="R74" s="26">
        <f t="shared" si="27"/>
        <v>1.7362569149033284E-2</v>
      </c>
      <c r="S74" s="26">
        <f t="shared" si="27"/>
        <v>0.20347616526390741</v>
      </c>
      <c r="T74" s="26">
        <f t="shared" si="27"/>
        <v>9.3604513172548517E-2</v>
      </c>
      <c r="U74" s="26">
        <f t="shared" si="27"/>
        <v>0.14520840560129991</v>
      </c>
      <c r="V74" s="26">
        <f t="shared" si="27"/>
        <v>0.18712686907783033</v>
      </c>
      <c r="W74" s="26">
        <f t="shared" si="27"/>
        <v>4.2265349716100992E-2</v>
      </c>
      <c r="X74" s="51">
        <f>X13/Y13</f>
        <v>4.4456210176546844E-3</v>
      </c>
    </row>
    <row r="75" spans="1:32" x14ac:dyDescent="0.25">
      <c r="A75" s="43" t="s">
        <v>63</v>
      </c>
      <c r="B75" s="26">
        <f>B17/$Y$17</f>
        <v>0</v>
      </c>
      <c r="C75" s="26">
        <f t="shared" ref="C75:W75" si="28">C17/$Y$17</f>
        <v>0</v>
      </c>
      <c r="D75" s="26">
        <f t="shared" si="28"/>
        <v>0</v>
      </c>
      <c r="E75" s="26">
        <f t="shared" si="28"/>
        <v>0</v>
      </c>
      <c r="F75" s="26">
        <f t="shared" si="28"/>
        <v>0</v>
      </c>
      <c r="G75" s="26">
        <f t="shared" si="28"/>
        <v>0</v>
      </c>
      <c r="H75" s="26">
        <f t="shared" si="28"/>
        <v>0</v>
      </c>
      <c r="I75" s="26">
        <f t="shared" si="28"/>
        <v>0</v>
      </c>
      <c r="J75" s="26">
        <f t="shared" si="28"/>
        <v>0</v>
      </c>
      <c r="K75" s="26">
        <f t="shared" si="28"/>
        <v>0</v>
      </c>
      <c r="L75" s="26">
        <f t="shared" si="28"/>
        <v>0</v>
      </c>
      <c r="M75" s="26">
        <f t="shared" si="28"/>
        <v>0</v>
      </c>
      <c r="N75" s="26">
        <f t="shared" si="28"/>
        <v>0</v>
      </c>
      <c r="O75" s="26">
        <f t="shared" si="28"/>
        <v>0</v>
      </c>
      <c r="P75" s="26">
        <f t="shared" si="28"/>
        <v>0</v>
      </c>
      <c r="Q75" s="26">
        <f t="shared" si="28"/>
        <v>0</v>
      </c>
      <c r="R75" s="26">
        <f t="shared" si="28"/>
        <v>0</v>
      </c>
      <c r="S75" s="26">
        <f t="shared" si="28"/>
        <v>0</v>
      </c>
      <c r="T75" s="26">
        <f t="shared" si="28"/>
        <v>0</v>
      </c>
      <c r="U75" s="26">
        <f t="shared" si="28"/>
        <v>0</v>
      </c>
      <c r="V75" s="26">
        <f t="shared" si="28"/>
        <v>0</v>
      </c>
      <c r="W75" s="26">
        <f t="shared" si="28"/>
        <v>0</v>
      </c>
      <c r="X75" s="54">
        <f>X17/Y17</f>
        <v>1</v>
      </c>
    </row>
    <row r="76" spans="1:32" x14ac:dyDescent="0.25">
      <c r="A76" s="43" t="s">
        <v>60</v>
      </c>
      <c r="B76" s="26">
        <f>B19/$Y$19</f>
        <v>0.67481472211793814</v>
      </c>
      <c r="C76" s="26">
        <f t="shared" ref="C76:W76" si="29">C19/$Y$19</f>
        <v>2.2747813512423692E-2</v>
      </c>
      <c r="D76" s="26">
        <f t="shared" si="29"/>
        <v>7.1469291842211364E-3</v>
      </c>
      <c r="E76" s="26">
        <f t="shared" si="29"/>
        <v>3.3509920883215832E-3</v>
      </c>
      <c r="F76" s="26">
        <f t="shared" si="29"/>
        <v>6.5073207358278054E-3</v>
      </c>
      <c r="G76" s="26">
        <f t="shared" si="29"/>
        <v>1.1916183484197498E-2</v>
      </c>
      <c r="H76" s="26">
        <f t="shared" si="29"/>
        <v>9.5385085999527223E-3</v>
      </c>
      <c r="I76" s="26">
        <f t="shared" si="29"/>
        <v>2.2247250378898474E-3</v>
      </c>
      <c r="J76" s="26">
        <f t="shared" si="29"/>
        <v>6.1040893227102709E-3</v>
      </c>
      <c r="K76" s="26">
        <f t="shared" si="29"/>
        <v>7.3694016880101207E-4</v>
      </c>
      <c r="L76" s="26">
        <f t="shared" si="29"/>
        <v>1.9382916892615301E-2</v>
      </c>
      <c r="M76" s="26">
        <f t="shared" si="29"/>
        <v>8.0090101364034515E-3</v>
      </c>
      <c r="N76" s="26">
        <f t="shared" si="29"/>
        <v>5.436671811343316E-3</v>
      </c>
      <c r="O76" s="26">
        <f t="shared" si="29"/>
        <v>1.9104826262879071E-2</v>
      </c>
      <c r="P76" s="26">
        <f t="shared" si="29"/>
        <v>4.2450534629235662E-2</v>
      </c>
      <c r="Q76" s="26">
        <f t="shared" si="29"/>
        <v>2.1260028643334858E-2</v>
      </c>
      <c r="R76" s="26">
        <f t="shared" si="29"/>
        <v>2.1287837706308481E-2</v>
      </c>
      <c r="S76" s="26">
        <f t="shared" si="29"/>
        <v>2.5528719809786004E-2</v>
      </c>
      <c r="T76" s="26">
        <f t="shared" si="29"/>
        <v>5.8774454594752418E-2</v>
      </c>
      <c r="U76" s="26">
        <f t="shared" si="29"/>
        <v>6.715888708129978E-3</v>
      </c>
      <c r="V76" s="26">
        <f t="shared" si="29"/>
        <v>1.8270554373670374E-2</v>
      </c>
      <c r="W76" s="26">
        <f t="shared" si="29"/>
        <v>2.6418609824941942E-4</v>
      </c>
      <c r="X76" s="54">
        <f>X19/Y19</f>
        <v>8.4261460810077984E-3</v>
      </c>
    </row>
    <row r="77" spans="1:32" x14ac:dyDescent="0.25">
      <c r="A77" s="43" t="s">
        <v>53</v>
      </c>
      <c r="B77" s="26">
        <f>B23/$Y$23</f>
        <v>0.14220868765800962</v>
      </c>
      <c r="C77" s="26">
        <f t="shared" ref="C77:W77" si="30">C23/$Y$23</f>
        <v>4.9394775147475672E-2</v>
      </c>
      <c r="D77" s="26">
        <f t="shared" si="30"/>
        <v>3.9646058377384502E-3</v>
      </c>
      <c r="E77" s="26">
        <f t="shared" si="30"/>
        <v>6.8183559335018773E-3</v>
      </c>
      <c r="F77" s="26">
        <f t="shared" si="30"/>
        <v>2.8154447253504944E-3</v>
      </c>
      <c r="G77" s="26">
        <f t="shared" si="30"/>
        <v>4.5985597180724737E-2</v>
      </c>
      <c r="H77" s="26">
        <f t="shared" si="30"/>
        <v>1.9612349651421127E-2</v>
      </c>
      <c r="I77" s="26">
        <f t="shared" si="30"/>
        <v>4.8839347276488148E-3</v>
      </c>
      <c r="J77" s="26">
        <f t="shared" si="30"/>
        <v>4.5008810235194971E-2</v>
      </c>
      <c r="K77" s="26">
        <f t="shared" si="30"/>
        <v>6.7647284149237721E-2</v>
      </c>
      <c r="L77" s="26">
        <f t="shared" si="30"/>
        <v>5.5102275339002527E-2</v>
      </c>
      <c r="M77" s="26">
        <f t="shared" si="30"/>
        <v>6.4008273960009202E-2</v>
      </c>
      <c r="N77" s="26">
        <f t="shared" si="30"/>
        <v>1.8827089557956023E-2</v>
      </c>
      <c r="O77" s="26">
        <f t="shared" si="30"/>
        <v>2.2772542710488012E-2</v>
      </c>
      <c r="P77" s="26">
        <f t="shared" si="30"/>
        <v>4.9222400980617476E-3</v>
      </c>
      <c r="Q77" s="26">
        <f t="shared" si="30"/>
        <v>3.6409254577491751E-2</v>
      </c>
      <c r="R77" s="26">
        <f t="shared" si="30"/>
        <v>5.2114456446793841E-2</v>
      </c>
      <c r="S77" s="26">
        <f t="shared" si="30"/>
        <v>6.5291503868842402E-2</v>
      </c>
      <c r="T77" s="26">
        <f t="shared" si="30"/>
        <v>4.2059296713399225E-2</v>
      </c>
      <c r="U77" s="26">
        <f t="shared" si="30"/>
        <v>0.1039416226154907</v>
      </c>
      <c r="V77" s="26">
        <f t="shared" si="30"/>
        <v>5.0812073852754158E-2</v>
      </c>
      <c r="W77" s="26">
        <f t="shared" si="30"/>
        <v>8.8044893894123955E-2</v>
      </c>
      <c r="X77" s="51">
        <f>X23/Y23</f>
        <v>7.3546311192829233E-3</v>
      </c>
    </row>
    <row r="78" spans="1:32" x14ac:dyDescent="0.25">
      <c r="A78" s="43" t="s">
        <v>52</v>
      </c>
      <c r="B78" s="26">
        <f>B33/$Y$33</f>
        <v>0.19203299352723269</v>
      </c>
      <c r="C78" s="26">
        <f t="shared" ref="C78:W78" si="31">C33/$Y$33</f>
        <v>3.1342716293106879E-2</v>
      </c>
      <c r="D78" s="26">
        <f t="shared" si="31"/>
        <v>2.250435394294208E-2</v>
      </c>
      <c r="E78" s="26">
        <f t="shared" si="31"/>
        <v>9.5928566971300866E-3</v>
      </c>
      <c r="F78" s="26">
        <f t="shared" si="31"/>
        <v>5.3892453354663404E-3</v>
      </c>
      <c r="G78" s="26">
        <f t="shared" si="31"/>
        <v>4.4934960318135667E-2</v>
      </c>
      <c r="H78" s="26">
        <f t="shared" si="31"/>
        <v>5.9247661351168907E-2</v>
      </c>
      <c r="I78" s="26">
        <f t="shared" si="31"/>
        <v>2.3071642925622745E-2</v>
      </c>
      <c r="J78" s="26">
        <f t="shared" si="31"/>
        <v>3.1972407063882415E-2</v>
      </c>
      <c r="K78" s="26">
        <f t="shared" si="31"/>
        <v>9.4226700023258853E-3</v>
      </c>
      <c r="L78" s="26">
        <f t="shared" si="31"/>
        <v>2.1693130697708719E-2</v>
      </c>
      <c r="M78" s="26">
        <f t="shared" si="31"/>
        <v>4.2121206964039565E-2</v>
      </c>
      <c r="N78" s="26">
        <f t="shared" si="31"/>
        <v>2.3735371035359127E-2</v>
      </c>
      <c r="O78" s="26">
        <f t="shared" si="31"/>
        <v>1.0608303976128483E-2</v>
      </c>
      <c r="P78" s="26">
        <f t="shared" si="31"/>
        <v>2.4739472534703908E-2</v>
      </c>
      <c r="Q78" s="26">
        <f t="shared" si="31"/>
        <v>3.2658826732926027E-2</v>
      </c>
      <c r="R78" s="26">
        <f t="shared" si="31"/>
        <v>0.1064971607186417</v>
      </c>
      <c r="S78" s="26">
        <f t="shared" si="31"/>
        <v>7.5818172535271205E-2</v>
      </c>
      <c r="T78" s="26">
        <f t="shared" si="31"/>
        <v>8.0708203565978562E-2</v>
      </c>
      <c r="U78" s="26">
        <f t="shared" si="31"/>
        <v>6.7013847524067235E-2</v>
      </c>
      <c r="V78" s="26">
        <f t="shared" si="31"/>
        <v>3.9432257186133197E-2</v>
      </c>
      <c r="W78" s="26">
        <f t="shared" si="31"/>
        <v>4.4259886428745669E-2</v>
      </c>
      <c r="X78" s="52">
        <f>X33/Y33</f>
        <v>1.202652643283015E-3</v>
      </c>
    </row>
    <row r="79" spans="1:32" x14ac:dyDescent="0.25">
      <c r="A79" s="43" t="s">
        <v>65</v>
      </c>
      <c r="B79" s="26">
        <f>B39/$Y$39</f>
        <v>0</v>
      </c>
      <c r="C79" s="26">
        <f t="shared" ref="C79:W79" si="32">C39/$Y$39</f>
        <v>0</v>
      </c>
      <c r="D79" s="26">
        <f t="shared" si="32"/>
        <v>0</v>
      </c>
      <c r="E79" s="26">
        <f t="shared" si="32"/>
        <v>0</v>
      </c>
      <c r="F79" s="26">
        <f t="shared" si="32"/>
        <v>0</v>
      </c>
      <c r="G79" s="26">
        <f t="shared" si="32"/>
        <v>0</v>
      </c>
      <c r="H79" s="26">
        <f t="shared" si="32"/>
        <v>0</v>
      </c>
      <c r="I79" s="26">
        <f t="shared" si="32"/>
        <v>0</v>
      </c>
      <c r="J79" s="26">
        <f t="shared" si="32"/>
        <v>0</v>
      </c>
      <c r="K79" s="26">
        <f t="shared" si="32"/>
        <v>0</v>
      </c>
      <c r="L79" s="26">
        <f t="shared" si="32"/>
        <v>0</v>
      </c>
      <c r="M79" s="26">
        <f t="shared" si="32"/>
        <v>0</v>
      </c>
      <c r="N79" s="26">
        <f t="shared" si="32"/>
        <v>0</v>
      </c>
      <c r="O79" s="26">
        <f t="shared" si="32"/>
        <v>0</v>
      </c>
      <c r="P79" s="26">
        <f t="shared" si="32"/>
        <v>0</v>
      </c>
      <c r="Q79" s="26">
        <f t="shared" si="32"/>
        <v>0</v>
      </c>
      <c r="R79" s="26">
        <f t="shared" si="32"/>
        <v>0</v>
      </c>
      <c r="S79" s="26">
        <f t="shared" si="32"/>
        <v>0</v>
      </c>
      <c r="T79" s="26">
        <f t="shared" si="32"/>
        <v>0</v>
      </c>
      <c r="U79" s="26">
        <f t="shared" si="32"/>
        <v>0</v>
      </c>
      <c r="V79" s="26">
        <f t="shared" si="32"/>
        <v>0</v>
      </c>
      <c r="W79" s="26">
        <f t="shared" si="32"/>
        <v>0</v>
      </c>
      <c r="X79" s="54">
        <f>X39/Y39</f>
        <v>1</v>
      </c>
    </row>
    <row r="80" spans="1:32" x14ac:dyDescent="0.25">
      <c r="A80" s="43" t="s">
        <v>51</v>
      </c>
      <c r="B80" s="26">
        <f>B41/$Y$41</f>
        <v>0.31568134741417364</v>
      </c>
      <c r="C80" s="26">
        <f t="shared" ref="C80:W80" si="33">C41/$Y$41</f>
        <v>0.11114129512037761</v>
      </c>
      <c r="D80" s="26">
        <f t="shared" si="33"/>
        <v>1.8379231892424186E-2</v>
      </c>
      <c r="E80" s="26">
        <f t="shared" si="33"/>
        <v>1.4669428503514551E-2</v>
      </c>
      <c r="F80" s="26">
        <f t="shared" si="33"/>
        <v>1.6970015959794894E-2</v>
      </c>
      <c r="G80" s="26">
        <f t="shared" si="33"/>
        <v>1.4975041597337771E-2</v>
      </c>
      <c r="H80" s="26">
        <f t="shared" si="33"/>
        <v>3.1333831369486233E-2</v>
      </c>
      <c r="I80" s="26">
        <f t="shared" si="33"/>
        <v>1.3548847159496079E-2</v>
      </c>
      <c r="J80" s="26">
        <f t="shared" si="33"/>
        <v>2.7352371897178172E-2</v>
      </c>
      <c r="K80" s="26">
        <f t="shared" si="33"/>
        <v>1.1265238208428129E-2</v>
      </c>
      <c r="L80" s="26">
        <f t="shared" si="33"/>
        <v>1.3047981255730244E-2</v>
      </c>
      <c r="M80" s="26">
        <f t="shared" si="33"/>
        <v>2.5187612482597033E-2</v>
      </c>
      <c r="N80" s="26">
        <f t="shared" si="33"/>
        <v>6.4093857176814152E-3</v>
      </c>
      <c r="O80" s="26">
        <f t="shared" si="33"/>
        <v>2.3489761961356916E-2</v>
      </c>
      <c r="P80" s="26">
        <f t="shared" si="33"/>
        <v>2.0187442697544907E-2</v>
      </c>
      <c r="Q80" s="26">
        <f t="shared" si="33"/>
        <v>2.8141872389554828E-2</v>
      </c>
      <c r="R80" s="26">
        <f t="shared" si="33"/>
        <v>5.5154674182484972E-2</v>
      </c>
      <c r="S80" s="26">
        <f t="shared" si="33"/>
        <v>7.2931169139868926E-2</v>
      </c>
      <c r="T80" s="26">
        <f t="shared" si="33"/>
        <v>5.371150123943088E-2</v>
      </c>
      <c r="U80" s="26">
        <f t="shared" si="33"/>
        <v>5.1996672212978372E-2</v>
      </c>
      <c r="V80" s="26">
        <f t="shared" si="33"/>
        <v>3.2709090291690716E-2</v>
      </c>
      <c r="W80" s="26">
        <f t="shared" si="33"/>
        <v>4.0578627457638627E-2</v>
      </c>
      <c r="X80" s="52">
        <f>X41/Y41</f>
        <v>1.1375598492308738E-3</v>
      </c>
    </row>
    <row r="81" spans="1:24" x14ac:dyDescent="0.25">
      <c r="A81" s="43" t="s">
        <v>54</v>
      </c>
      <c r="B81" s="26">
        <f>B46/$Y$46</f>
        <v>0.10535788980010902</v>
      </c>
      <c r="C81" s="26">
        <f t="shared" ref="C81:W81" si="34">C46/$Y$46</f>
        <v>4.5082157690373879E-3</v>
      </c>
      <c r="D81" s="26">
        <f t="shared" si="34"/>
        <v>6.6503576574178519E-3</v>
      </c>
      <c r="E81" s="26">
        <f t="shared" si="34"/>
        <v>0</v>
      </c>
      <c r="F81" s="26">
        <f t="shared" si="34"/>
        <v>1.8168067297901378E-4</v>
      </c>
      <c r="G81" s="26">
        <f t="shared" si="34"/>
        <v>7.6474887928375571E-4</v>
      </c>
      <c r="H81" s="26">
        <f t="shared" si="34"/>
        <v>8.4477287803311665E-2</v>
      </c>
      <c r="I81" s="26">
        <f t="shared" si="34"/>
        <v>4.6129990408950522E-2</v>
      </c>
      <c r="J81" s="26">
        <f t="shared" si="34"/>
        <v>5.8142040485214146E-2</v>
      </c>
      <c r="K81" s="26">
        <f t="shared" si="34"/>
        <v>2.0715821851537315E-2</v>
      </c>
      <c r="L81" s="26">
        <f t="shared" si="34"/>
        <v>8.9885456673384628E-2</v>
      </c>
      <c r="M81" s="26">
        <f t="shared" si="34"/>
        <v>4.5124409009671329E-3</v>
      </c>
      <c r="N81" s="26">
        <f t="shared" si="34"/>
        <v>2.0111627985583847E-3</v>
      </c>
      <c r="O81" s="26">
        <f t="shared" si="34"/>
        <v>1.67653234972262E-2</v>
      </c>
      <c r="P81" s="26">
        <f t="shared" si="34"/>
        <v>9.0713582531614552E-3</v>
      </c>
      <c r="Q81" s="26">
        <f t="shared" si="34"/>
        <v>3.4240469158649478E-2</v>
      </c>
      <c r="R81" s="26">
        <f t="shared" si="34"/>
        <v>7.3445468334748742E-2</v>
      </c>
      <c r="S81" s="26">
        <f t="shared" si="34"/>
        <v>0.14275453251027764</v>
      </c>
      <c r="T81" s="26">
        <f t="shared" si="34"/>
        <v>4.5390592321245225E-2</v>
      </c>
      <c r="U81" s="26">
        <f t="shared" si="34"/>
        <v>6.9140058898339088E-2</v>
      </c>
      <c r="V81" s="26">
        <f t="shared" si="34"/>
        <v>0.16454776300389978</v>
      </c>
      <c r="W81" s="26">
        <f t="shared" si="34"/>
        <v>2.1307340321701545E-2</v>
      </c>
      <c r="X81" s="54">
        <f>X46/Y46</f>
        <v>0</v>
      </c>
    </row>
    <row r="82" spans="1:24" x14ac:dyDescent="0.25">
      <c r="A82" s="43" t="s">
        <v>67</v>
      </c>
      <c r="B82" s="26">
        <f>B49/$Y$49</f>
        <v>0.19413743392599714</v>
      </c>
      <c r="C82" s="26">
        <f t="shared" ref="C82:W82" si="35">C49/$Y$49</f>
        <v>5.2859202306583378E-2</v>
      </c>
      <c r="D82" s="26">
        <f t="shared" si="35"/>
        <v>2.4026910139356081E-3</v>
      </c>
      <c r="E82" s="26">
        <f t="shared" si="35"/>
        <v>5.3820278712157624E-2</v>
      </c>
      <c r="F82" s="26">
        <f t="shared" si="35"/>
        <v>1.5377222489187891E-2</v>
      </c>
      <c r="G82" s="26">
        <f t="shared" si="35"/>
        <v>1.4416146083613648E-2</v>
      </c>
      <c r="H82" s="26">
        <f t="shared" si="35"/>
        <v>9.6107640557424323E-3</v>
      </c>
      <c r="I82" s="26">
        <f t="shared" si="35"/>
        <v>0</v>
      </c>
      <c r="J82" s="26">
        <f t="shared" si="35"/>
        <v>0</v>
      </c>
      <c r="K82" s="26">
        <f t="shared" si="35"/>
        <v>1.8260451705910622E-2</v>
      </c>
      <c r="L82" s="26">
        <f t="shared" si="35"/>
        <v>0</v>
      </c>
      <c r="M82" s="26">
        <f t="shared" si="35"/>
        <v>8.8899567515617506E-2</v>
      </c>
      <c r="N82" s="26">
        <f t="shared" si="35"/>
        <v>0</v>
      </c>
      <c r="O82" s="26">
        <f t="shared" si="35"/>
        <v>0</v>
      </c>
      <c r="P82" s="26">
        <f t="shared" si="35"/>
        <v>9.6107640557424319E-4</v>
      </c>
      <c r="Q82" s="26">
        <f t="shared" si="35"/>
        <v>0.14464199903892361</v>
      </c>
      <c r="R82" s="26">
        <f t="shared" si="35"/>
        <v>0.15040845747236908</v>
      </c>
      <c r="S82" s="26">
        <f t="shared" si="35"/>
        <v>7.2080730418068242E-3</v>
      </c>
      <c r="T82" s="26">
        <f t="shared" si="35"/>
        <v>1.7779913503123499E-2</v>
      </c>
      <c r="U82" s="26">
        <f t="shared" si="35"/>
        <v>2.066314271984623E-2</v>
      </c>
      <c r="V82" s="26">
        <f t="shared" si="35"/>
        <v>8.6016338298894768E-2</v>
      </c>
      <c r="W82" s="26">
        <f t="shared" si="35"/>
        <v>5.9586737145603079E-2</v>
      </c>
      <c r="X82" s="54">
        <f>X49/Y49</f>
        <v>6.2950504565112933E-2</v>
      </c>
    </row>
    <row r="83" spans="1:24" x14ac:dyDescent="0.25">
      <c r="A83" s="43" t="s">
        <v>75</v>
      </c>
      <c r="B83" s="26">
        <f>B54/$Y$54</f>
        <v>0.36054421768707484</v>
      </c>
      <c r="C83" s="26">
        <f t="shared" ref="C83:W83" si="36">C54/$Y$54</f>
        <v>0.32653061224489793</v>
      </c>
      <c r="D83" s="26">
        <f t="shared" si="36"/>
        <v>0</v>
      </c>
      <c r="E83" s="26">
        <f t="shared" si="36"/>
        <v>0</v>
      </c>
      <c r="F83" s="26">
        <f t="shared" si="36"/>
        <v>0</v>
      </c>
      <c r="G83" s="26">
        <f t="shared" si="36"/>
        <v>0</v>
      </c>
      <c r="H83" s="26">
        <f t="shared" si="36"/>
        <v>0</v>
      </c>
      <c r="I83" s="26">
        <f t="shared" si="36"/>
        <v>0</v>
      </c>
      <c r="J83" s="26">
        <f t="shared" si="36"/>
        <v>0</v>
      </c>
      <c r="K83" s="26">
        <f t="shared" si="36"/>
        <v>0</v>
      </c>
      <c r="L83" s="26">
        <f t="shared" si="36"/>
        <v>0</v>
      </c>
      <c r="M83" s="26">
        <f t="shared" si="36"/>
        <v>0</v>
      </c>
      <c r="N83" s="26">
        <f t="shared" si="36"/>
        <v>0</v>
      </c>
      <c r="O83" s="26">
        <f t="shared" si="36"/>
        <v>0</v>
      </c>
      <c r="P83" s="26">
        <f t="shared" si="36"/>
        <v>0</v>
      </c>
      <c r="Q83" s="26">
        <f t="shared" si="36"/>
        <v>0</v>
      </c>
      <c r="R83" s="26">
        <f t="shared" si="36"/>
        <v>0</v>
      </c>
      <c r="S83" s="26">
        <f t="shared" si="36"/>
        <v>0.17006802721088435</v>
      </c>
      <c r="T83" s="26">
        <f t="shared" si="36"/>
        <v>0</v>
      </c>
      <c r="U83" s="26">
        <f t="shared" si="36"/>
        <v>0</v>
      </c>
      <c r="V83" s="26">
        <f t="shared" si="36"/>
        <v>0</v>
      </c>
      <c r="W83" s="26">
        <f t="shared" si="36"/>
        <v>0.14285714285714285</v>
      </c>
      <c r="X83" s="54">
        <f>X54/Y54</f>
        <v>0</v>
      </c>
    </row>
    <row r="84" spans="1:24" x14ac:dyDescent="0.25">
      <c r="A84" s="43" t="s">
        <v>55</v>
      </c>
      <c r="B84" s="26">
        <f>B56/$Y$56</f>
        <v>0.33097637145719166</v>
      </c>
      <c r="C84" s="26">
        <f t="shared" ref="C84:W84" si="37">C56/$Y$56</f>
        <v>0.10205644923693356</v>
      </c>
      <c r="D84" s="26">
        <f t="shared" si="37"/>
        <v>3.2997466265983141E-3</v>
      </c>
      <c r="E84" s="26">
        <f t="shared" si="37"/>
        <v>1.0429556301926816E-2</v>
      </c>
      <c r="F84" s="26">
        <f t="shared" si="37"/>
        <v>7.7190501443639148E-3</v>
      </c>
      <c r="G84" s="26">
        <f t="shared" si="37"/>
        <v>3.4117023157150435E-2</v>
      </c>
      <c r="H84" s="26">
        <f t="shared" si="37"/>
        <v>9.6046196452772362E-3</v>
      </c>
      <c r="I84" s="26">
        <f t="shared" si="37"/>
        <v>0.14483530728890462</v>
      </c>
      <c r="J84" s="26">
        <f t="shared" si="37"/>
        <v>1.243297389664722E-2</v>
      </c>
      <c r="K84" s="26">
        <f t="shared" si="37"/>
        <v>1.3906075069235756E-2</v>
      </c>
      <c r="L84" s="26">
        <f t="shared" si="37"/>
        <v>2.3569618761416535E-2</v>
      </c>
      <c r="M84" s="26">
        <f t="shared" si="37"/>
        <v>3.0463732249130869E-2</v>
      </c>
      <c r="N84" s="26">
        <f t="shared" si="37"/>
        <v>2.4512403511873195E-2</v>
      </c>
      <c r="O84" s="26">
        <f t="shared" si="37"/>
        <v>6.2459489717753818E-3</v>
      </c>
      <c r="P84" s="26">
        <f t="shared" si="37"/>
        <v>6.5405692062930881E-3</v>
      </c>
      <c r="Q84" s="26">
        <f t="shared" si="37"/>
        <v>6.6584173001001711E-3</v>
      </c>
      <c r="R84" s="26">
        <f t="shared" si="37"/>
        <v>0.12898473867185198</v>
      </c>
      <c r="S84" s="26">
        <f t="shared" si="37"/>
        <v>3.0758352483648575E-2</v>
      </c>
      <c r="T84" s="26">
        <f t="shared" si="37"/>
        <v>1.708797360202699E-2</v>
      </c>
      <c r="U84" s="26">
        <f t="shared" si="37"/>
        <v>8.072594425785163E-3</v>
      </c>
      <c r="V84" s="26">
        <f t="shared" si="37"/>
        <v>3.3351010547404393E-2</v>
      </c>
      <c r="W84" s="26">
        <f t="shared" si="37"/>
        <v>1.1077720817865769E-2</v>
      </c>
      <c r="X84" s="52">
        <f>X56/Y56</f>
        <v>3.299746626598315E-3</v>
      </c>
    </row>
    <row r="85" spans="1:24" x14ac:dyDescent="0.25">
      <c r="A85" s="43" t="s">
        <v>80</v>
      </c>
      <c r="B85" s="26">
        <f>B58/$Y$58</f>
        <v>0.13436692506459949</v>
      </c>
      <c r="C85" s="26">
        <f t="shared" ref="C85:W85" si="38">C58/$Y$58</f>
        <v>0</v>
      </c>
      <c r="D85" s="26">
        <f t="shared" si="38"/>
        <v>0</v>
      </c>
      <c r="E85" s="26">
        <f t="shared" si="38"/>
        <v>0</v>
      </c>
      <c r="F85" s="26">
        <f t="shared" si="38"/>
        <v>0</v>
      </c>
      <c r="G85" s="26">
        <f t="shared" si="38"/>
        <v>0</v>
      </c>
      <c r="H85" s="26">
        <f t="shared" si="38"/>
        <v>0</v>
      </c>
      <c r="I85" s="26">
        <f t="shared" si="38"/>
        <v>0</v>
      </c>
      <c r="J85" s="26">
        <f t="shared" si="38"/>
        <v>0</v>
      </c>
      <c r="K85" s="26">
        <f t="shared" si="38"/>
        <v>0</v>
      </c>
      <c r="L85" s="26">
        <f t="shared" si="38"/>
        <v>0</v>
      </c>
      <c r="M85" s="26">
        <f t="shared" si="38"/>
        <v>0</v>
      </c>
      <c r="N85" s="26">
        <f t="shared" si="38"/>
        <v>0</v>
      </c>
      <c r="O85" s="26">
        <f t="shared" si="38"/>
        <v>0.23514211886304909</v>
      </c>
      <c r="P85" s="26">
        <f t="shared" si="38"/>
        <v>0</v>
      </c>
      <c r="Q85" s="26">
        <f t="shared" si="38"/>
        <v>0</v>
      </c>
      <c r="R85" s="26">
        <f t="shared" si="38"/>
        <v>0</v>
      </c>
      <c r="S85" s="26">
        <f t="shared" si="38"/>
        <v>0</v>
      </c>
      <c r="T85" s="26">
        <f t="shared" si="38"/>
        <v>0</v>
      </c>
      <c r="U85" s="26">
        <f t="shared" si="38"/>
        <v>0.10077519379844961</v>
      </c>
      <c r="V85" s="26">
        <f t="shared" si="38"/>
        <v>0.38759689922480617</v>
      </c>
      <c r="W85" s="26">
        <f t="shared" si="38"/>
        <v>0</v>
      </c>
      <c r="X85" s="54">
        <f>X58/Y58</f>
        <v>0.14211886304909563</v>
      </c>
    </row>
    <row r="86" spans="1:24" x14ac:dyDescent="0.25">
      <c r="A86" s="43" t="s">
        <v>56</v>
      </c>
      <c r="B86" s="26">
        <f>B60/$Y$60</f>
        <v>0.56563115292058619</v>
      </c>
      <c r="C86" s="26">
        <f t="shared" ref="C86:W86" si="39">C60/$Y$60</f>
        <v>7.525705534893895E-2</v>
      </c>
      <c r="D86" s="26">
        <f t="shared" si="39"/>
        <v>8.5539269306497467E-2</v>
      </c>
      <c r="E86" s="26">
        <f t="shared" si="39"/>
        <v>3.3909429008969587E-3</v>
      </c>
      <c r="F86" s="26">
        <f t="shared" si="39"/>
        <v>1.0719754977029095E-2</v>
      </c>
      <c r="G86" s="26">
        <f t="shared" si="39"/>
        <v>1.1047910741632026E-2</v>
      </c>
      <c r="H86" s="26">
        <f t="shared" si="39"/>
        <v>4.101947057536643E-2</v>
      </c>
      <c r="I86" s="26">
        <f t="shared" si="39"/>
        <v>0</v>
      </c>
      <c r="J86" s="26">
        <f t="shared" si="39"/>
        <v>1.0938525486764382E-4</v>
      </c>
      <c r="K86" s="26">
        <f t="shared" si="39"/>
        <v>6.5631152920586286E-4</v>
      </c>
      <c r="L86" s="26">
        <f t="shared" si="39"/>
        <v>3.7190986654998897E-3</v>
      </c>
      <c r="M86" s="26">
        <f t="shared" si="39"/>
        <v>2.4392911835484574E-2</v>
      </c>
      <c r="N86" s="26">
        <f t="shared" si="39"/>
        <v>3.9378691752351772E-3</v>
      </c>
      <c r="O86" s="26">
        <f t="shared" si="39"/>
        <v>1.4767009407131918E-2</v>
      </c>
      <c r="P86" s="26">
        <f t="shared" si="39"/>
        <v>5.1629840297527881E-2</v>
      </c>
      <c r="Q86" s="26">
        <f t="shared" si="39"/>
        <v>1.0829140231896739E-2</v>
      </c>
      <c r="R86" s="26">
        <f t="shared" si="39"/>
        <v>1.7939181798293589E-2</v>
      </c>
      <c r="S86" s="26">
        <f t="shared" si="39"/>
        <v>4.5285495515204541E-2</v>
      </c>
      <c r="T86" s="26">
        <f t="shared" si="39"/>
        <v>8.8602056442791503E-3</v>
      </c>
      <c r="U86" s="26">
        <f t="shared" si="39"/>
        <v>1.9251804856705312E-2</v>
      </c>
      <c r="V86" s="26">
        <f t="shared" si="39"/>
        <v>5.6880332531174787E-3</v>
      </c>
      <c r="W86" s="26">
        <f t="shared" si="39"/>
        <v>0</v>
      </c>
      <c r="X86" s="52">
        <f>X60/Y60</f>
        <v>3.2815576460293143E-4</v>
      </c>
    </row>
    <row r="87" spans="1:24" x14ac:dyDescent="0.25">
      <c r="A87" s="43" t="s">
        <v>57</v>
      </c>
      <c r="B87" s="26">
        <f>B62/$Y$62</f>
        <v>0.16180750013726453</v>
      </c>
      <c r="C87" s="26">
        <f t="shared" ref="C87:W87" si="40">C62/$Y$62</f>
        <v>3.1680667654971718E-2</v>
      </c>
      <c r="D87" s="26">
        <f t="shared" si="40"/>
        <v>3.56887937187723E-3</v>
      </c>
      <c r="E87" s="26">
        <f t="shared" si="40"/>
        <v>3.2394443529347168E-3</v>
      </c>
      <c r="F87" s="26">
        <f t="shared" si="40"/>
        <v>6.7369461373744013E-2</v>
      </c>
      <c r="G87" s="26">
        <f t="shared" si="40"/>
        <v>0.11749849008949649</v>
      </c>
      <c r="H87" s="26">
        <f t="shared" si="40"/>
        <v>2.5860648986987315E-2</v>
      </c>
      <c r="I87" s="26">
        <f t="shared" si="40"/>
        <v>7.6868171086586499E-4</v>
      </c>
      <c r="J87" s="26">
        <f t="shared" si="40"/>
        <v>2.7562729918190299E-2</v>
      </c>
      <c r="K87" s="26">
        <f t="shared" si="40"/>
        <v>4.9415252841377034E-3</v>
      </c>
      <c r="L87" s="26">
        <f t="shared" si="40"/>
        <v>8.6202163289957709E-2</v>
      </c>
      <c r="M87" s="26">
        <f t="shared" si="40"/>
        <v>5.3258661395706357E-3</v>
      </c>
      <c r="N87" s="26">
        <f t="shared" si="40"/>
        <v>9.1363311920057089E-2</v>
      </c>
      <c r="O87" s="26">
        <f t="shared" si="40"/>
        <v>6.5887003788502709E-3</v>
      </c>
      <c r="P87" s="26">
        <f t="shared" si="40"/>
        <v>1.7405150167462798E-2</v>
      </c>
      <c r="Q87" s="26">
        <f t="shared" si="40"/>
        <v>2.091912370284961E-2</v>
      </c>
      <c r="R87" s="26">
        <f t="shared" si="40"/>
        <v>0.10042277494097621</v>
      </c>
      <c r="S87" s="26">
        <f t="shared" si="40"/>
        <v>4.3759951682863882E-2</v>
      </c>
      <c r="T87" s="26">
        <f t="shared" si="40"/>
        <v>7.2365892494372142E-2</v>
      </c>
      <c r="U87" s="26">
        <f t="shared" si="40"/>
        <v>5.6662823258112324E-2</v>
      </c>
      <c r="V87" s="26">
        <f t="shared" si="40"/>
        <v>3.0308021742711244E-2</v>
      </c>
      <c r="W87" s="26">
        <f t="shared" si="40"/>
        <v>1.9875912809531649E-2</v>
      </c>
      <c r="X87" s="51">
        <f>X62/Y62</f>
        <v>4.5022785922143515E-3</v>
      </c>
    </row>
    <row r="88" spans="1:24" x14ac:dyDescent="0.25">
      <c r="A88" s="43" t="s">
        <v>58</v>
      </c>
      <c r="B88" s="26">
        <f>B64/$Y$64</f>
        <v>0.54754201022857751</v>
      </c>
      <c r="C88" s="26">
        <f t="shared" ref="C88:W88" si="41">C64/$Y$64</f>
        <v>7.577497129735937E-2</v>
      </c>
      <c r="D88" s="26">
        <f t="shared" si="41"/>
        <v>0</v>
      </c>
      <c r="E88" s="26">
        <f t="shared" si="41"/>
        <v>6.3667675607974126E-3</v>
      </c>
      <c r="F88" s="26">
        <f t="shared" si="41"/>
        <v>9.0804717670389338E-3</v>
      </c>
      <c r="G88" s="26">
        <f t="shared" si="41"/>
        <v>3.0268239223463111E-2</v>
      </c>
      <c r="H88" s="26">
        <f t="shared" si="41"/>
        <v>1.2524788644191631E-2</v>
      </c>
      <c r="I88" s="26">
        <f t="shared" si="41"/>
        <v>1.1689802734578857E-2</v>
      </c>
      <c r="J88" s="26">
        <f t="shared" si="41"/>
        <v>1.7639077340569881E-2</v>
      </c>
      <c r="K88" s="26">
        <f t="shared" si="41"/>
        <v>1.4716626656925165E-2</v>
      </c>
      <c r="L88" s="26">
        <f t="shared" si="41"/>
        <v>2.8285147688132766E-2</v>
      </c>
      <c r="M88" s="26">
        <f t="shared" si="41"/>
        <v>1.3046654837699616E-2</v>
      </c>
      <c r="N88" s="26">
        <f t="shared" si="41"/>
        <v>4.4880492641686679E-3</v>
      </c>
      <c r="O88" s="26">
        <f t="shared" si="41"/>
        <v>1.7952197056674668E-2</v>
      </c>
      <c r="P88" s="26">
        <f t="shared" si="41"/>
        <v>6.2623943220958154E-3</v>
      </c>
      <c r="Q88" s="26">
        <f t="shared" si="41"/>
        <v>6.8886337543053958E-3</v>
      </c>
      <c r="R88" s="26">
        <f t="shared" si="41"/>
        <v>7.7236196639181723E-3</v>
      </c>
      <c r="S88" s="26">
        <f t="shared" si="41"/>
        <v>3.757436593257489E-3</v>
      </c>
      <c r="T88" s="26">
        <f t="shared" si="41"/>
        <v>2.7763281494624783E-2</v>
      </c>
      <c r="U88" s="26">
        <f t="shared" si="41"/>
        <v>6.1267091117837395E-2</v>
      </c>
      <c r="V88" s="26">
        <f t="shared" si="41"/>
        <v>7.577497129735937E-2</v>
      </c>
      <c r="W88" s="26">
        <f t="shared" si="41"/>
        <v>7.7236196639181723E-3</v>
      </c>
      <c r="X88" s="54">
        <f>X64/Y64</f>
        <v>1.3464147792506003E-2</v>
      </c>
    </row>
    <row r="89" spans="1:24" x14ac:dyDescent="0.25">
      <c r="A89" s="43" t="s">
        <v>59</v>
      </c>
      <c r="B89" s="26">
        <f>B68/$Y$68</f>
        <v>0.22155111852361373</v>
      </c>
      <c r="C89" s="26">
        <f t="shared" ref="C89:W89" si="42">C68/$Y$68</f>
        <v>3.3187700689844349E-2</v>
      </c>
      <c r="D89" s="26">
        <f t="shared" si="42"/>
        <v>1.0768021123538571E-2</v>
      </c>
      <c r="E89" s="26">
        <f t="shared" si="42"/>
        <v>7.0083746622233538E-3</v>
      </c>
      <c r="F89" s="26">
        <f t="shared" si="42"/>
        <v>5.7069988472930244E-3</v>
      </c>
      <c r="G89" s="26">
        <f t="shared" si="42"/>
        <v>1.9162575656210646E-2</v>
      </c>
      <c r="H89" s="26">
        <f t="shared" si="42"/>
        <v>4.2793592163686486E-2</v>
      </c>
      <c r="I89" s="26">
        <f t="shared" si="42"/>
        <v>3.4781179362671354E-2</v>
      </c>
      <c r="J89" s="26">
        <f t="shared" si="42"/>
        <v>2.9175735989270722E-2</v>
      </c>
      <c r="K89" s="26">
        <f t="shared" si="42"/>
        <v>1.4893057898136724E-2</v>
      </c>
      <c r="L89" s="26">
        <f t="shared" si="42"/>
        <v>3.7448842738731267E-2</v>
      </c>
      <c r="M89" s="26">
        <f t="shared" si="42"/>
        <v>2.1839661705105935E-2</v>
      </c>
      <c r="N89" s="26">
        <f t="shared" si="42"/>
        <v>1.2454679561070962E-2</v>
      </c>
      <c r="O89" s="26">
        <f t="shared" si="42"/>
        <v>1.8004633861107715E-2</v>
      </c>
      <c r="P89" s="26">
        <f t="shared" si="42"/>
        <v>1.7751268658200921E-2</v>
      </c>
      <c r="Q89" s="26">
        <f t="shared" si="42"/>
        <v>3.3720605186867307E-2</v>
      </c>
      <c r="R89" s="26">
        <f t="shared" si="42"/>
        <v>6.7751111613653672E-2</v>
      </c>
      <c r="S89" s="26">
        <f t="shared" si="42"/>
        <v>0.10121102285207556</v>
      </c>
      <c r="T89" s="26">
        <f t="shared" si="42"/>
        <v>7.0104685895201038E-2</v>
      </c>
      <c r="U89" s="26">
        <f t="shared" si="42"/>
        <v>7.1803907896513933E-2</v>
      </c>
      <c r="V89" s="26">
        <f t="shared" si="42"/>
        <v>8.5497145453612713E-2</v>
      </c>
      <c r="W89" s="26">
        <f t="shared" si="42"/>
        <v>4.0021232422789051E-2</v>
      </c>
      <c r="X89" s="52">
        <f>X68/Y68</f>
        <v>3.3628472385810295E-3</v>
      </c>
    </row>
  </sheetData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"/>
  <sheetViews>
    <sheetView topLeftCell="A10" workbookViewId="0">
      <selection activeCell="E1" sqref="E1"/>
    </sheetView>
  </sheetViews>
  <sheetFormatPr baseColWidth="10" defaultRowHeight="15" x14ac:dyDescent="0.25"/>
  <cols>
    <col min="1" max="1" width="15.42578125" customWidth="1"/>
    <col min="8" max="8" width="21.140625" customWidth="1"/>
    <col min="16" max="16" width="15.85546875" customWidth="1"/>
    <col min="23" max="23" width="21.140625" customWidth="1"/>
  </cols>
  <sheetData>
    <row r="1" spans="1:28" x14ac:dyDescent="0.25">
      <c r="D1" s="2" t="s">
        <v>0</v>
      </c>
      <c r="E1" s="176" t="s">
        <v>1</v>
      </c>
      <c r="F1" s="2" t="s">
        <v>216</v>
      </c>
      <c r="G1" t="s">
        <v>225</v>
      </c>
      <c r="W1" s="185"/>
      <c r="X1" s="185"/>
      <c r="Y1" s="185"/>
      <c r="Z1" s="185"/>
      <c r="AA1" s="185"/>
      <c r="AB1" s="185"/>
    </row>
    <row r="2" spans="1:28" ht="18.75" x14ac:dyDescent="0.3">
      <c r="A2" s="307" t="s">
        <v>6</v>
      </c>
      <c r="B2" s="307"/>
      <c r="H2" s="255" t="s">
        <v>297</v>
      </c>
      <c r="I2" s="255"/>
      <c r="J2" s="255"/>
      <c r="P2" s="306" t="s">
        <v>93</v>
      </c>
      <c r="Q2" s="306"/>
      <c r="W2" s="256"/>
      <c r="X2" s="256"/>
      <c r="Y2" s="256"/>
      <c r="Z2" s="185"/>
      <c r="AA2" s="185"/>
      <c r="AB2" s="185"/>
    </row>
    <row r="3" spans="1:28" x14ac:dyDescent="0.25">
      <c r="A3" s="87" t="s">
        <v>94</v>
      </c>
      <c r="B3" s="87" t="s">
        <v>99</v>
      </c>
      <c r="C3" s="87" t="s">
        <v>100</v>
      </c>
      <c r="D3" s="87" t="s">
        <v>101</v>
      </c>
      <c r="E3" s="87" t="s">
        <v>102</v>
      </c>
      <c r="F3" s="87" t="s">
        <v>103</v>
      </c>
      <c r="H3" s="87" t="s">
        <v>94</v>
      </c>
      <c r="I3" s="87" t="s">
        <v>99</v>
      </c>
      <c r="J3" s="87" t="s">
        <v>100</v>
      </c>
      <c r="K3" s="87" t="s">
        <v>101</v>
      </c>
      <c r="L3" s="87" t="s">
        <v>102</v>
      </c>
      <c r="M3" s="87" t="s">
        <v>103</v>
      </c>
      <c r="P3" s="89" t="s">
        <v>94</v>
      </c>
      <c r="Q3" s="89" t="s">
        <v>99</v>
      </c>
      <c r="R3" s="89" t="s">
        <v>100</v>
      </c>
      <c r="S3" s="89" t="s">
        <v>101</v>
      </c>
      <c r="T3" s="89" t="s">
        <v>102</v>
      </c>
      <c r="U3" s="89" t="s">
        <v>103</v>
      </c>
      <c r="W3" s="257"/>
      <c r="X3" s="257"/>
      <c r="Y3" s="257"/>
      <c r="Z3" s="257"/>
      <c r="AA3" s="257"/>
      <c r="AB3" s="257"/>
    </row>
    <row r="4" spans="1:28" x14ac:dyDescent="0.25">
      <c r="A4" s="88" t="s">
        <v>49</v>
      </c>
      <c r="B4" s="14">
        <v>28089.875</v>
      </c>
      <c r="C4" s="14">
        <v>37084.913999999997</v>
      </c>
      <c r="D4" s="14">
        <v>23284.367999999999</v>
      </c>
      <c r="E4" s="14">
        <v>50499.625</v>
      </c>
      <c r="F4" s="14">
        <v>138958.78200000001</v>
      </c>
      <c r="H4" s="88" t="s">
        <v>49</v>
      </c>
      <c r="I4" s="134">
        <f>B4/F4</f>
        <v>0.20214537430243162</v>
      </c>
      <c r="J4" s="134">
        <f>C4/F4</f>
        <v>0.26687708014021017</v>
      </c>
      <c r="K4" s="134">
        <f>D4/F4</f>
        <v>0.167563126740705</v>
      </c>
      <c r="L4" s="134">
        <f>E4/F4</f>
        <v>0.3634144188166531</v>
      </c>
      <c r="M4" s="26">
        <f>F4/F4</f>
        <v>1</v>
      </c>
      <c r="P4" s="88" t="s">
        <v>49</v>
      </c>
      <c r="Q4" s="14">
        <v>13251.99</v>
      </c>
      <c r="R4" s="14">
        <v>4924.4300000000203</v>
      </c>
      <c r="S4" s="14">
        <v>1775.42</v>
      </c>
      <c r="T4" s="14">
        <v>800.16333333333102</v>
      </c>
      <c r="U4" s="14">
        <v>20752.003333333349</v>
      </c>
      <c r="W4" s="248"/>
      <c r="X4" s="91"/>
      <c r="Y4" s="158"/>
      <c r="Z4" s="158"/>
      <c r="AA4" s="158"/>
      <c r="AB4" s="158"/>
    </row>
    <row r="5" spans="1:28" x14ac:dyDescent="0.25">
      <c r="A5" s="88" t="s">
        <v>50</v>
      </c>
      <c r="B5" s="14">
        <v>12935.19</v>
      </c>
      <c r="C5" s="14">
        <v>21081.599999999999</v>
      </c>
      <c r="D5" s="14">
        <v>12204.89</v>
      </c>
      <c r="E5" s="14">
        <v>12083.2</v>
      </c>
      <c r="F5" s="14">
        <v>58304.880000000005</v>
      </c>
      <c r="H5" s="88" t="s">
        <v>50</v>
      </c>
      <c r="I5" s="134">
        <f t="shared" ref="I5:I20" si="0">B5/F5</f>
        <v>0.22185432848845585</v>
      </c>
      <c r="J5" s="134">
        <f t="shared" ref="J5:J20" si="1">C5/F5</f>
        <v>0.36157522320601632</v>
      </c>
      <c r="K5" s="134">
        <f t="shared" ref="K5:K20" si="2">D5/F5</f>
        <v>0.20932879031737991</v>
      </c>
      <c r="L5" s="134">
        <f t="shared" ref="L5:L20" si="3">E5/F5</f>
        <v>0.20724165798814781</v>
      </c>
      <c r="M5" s="26">
        <f t="shared" ref="M5:M20" si="4">F5/F5</f>
        <v>1</v>
      </c>
      <c r="P5" s="88" t="s">
        <v>50</v>
      </c>
      <c r="Q5" s="14">
        <v>9220.2700000000495</v>
      </c>
      <c r="R5" s="14">
        <v>5925.04000000003</v>
      </c>
      <c r="S5" s="14">
        <v>903.76999999999805</v>
      </c>
      <c r="T5" s="14">
        <v>226.56</v>
      </c>
      <c r="U5" s="14">
        <v>16275.640000000078</v>
      </c>
      <c r="W5" s="248"/>
      <c r="X5" s="158"/>
      <c r="Y5" s="158"/>
      <c r="Z5" s="158"/>
      <c r="AA5" s="158"/>
      <c r="AB5" s="158"/>
    </row>
    <row r="6" spans="1:28" x14ac:dyDescent="0.25">
      <c r="A6" s="88" t="s">
        <v>63</v>
      </c>
      <c r="B6" s="14">
        <v>0</v>
      </c>
      <c r="C6" s="14">
        <v>0</v>
      </c>
      <c r="D6" s="14">
        <v>0</v>
      </c>
      <c r="E6" s="14">
        <v>0</v>
      </c>
      <c r="F6" s="14">
        <v>0</v>
      </c>
      <c r="H6" s="88" t="s">
        <v>63</v>
      </c>
      <c r="I6" s="134"/>
      <c r="J6" s="134"/>
      <c r="K6" s="134"/>
      <c r="L6" s="134"/>
      <c r="M6" s="26"/>
      <c r="P6" s="88" t="s">
        <v>63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W6" s="248"/>
      <c r="X6" s="158"/>
      <c r="Y6" s="158"/>
      <c r="Z6" s="158"/>
      <c r="AA6" s="158"/>
      <c r="AB6" s="158"/>
    </row>
    <row r="7" spans="1:28" x14ac:dyDescent="0.25">
      <c r="A7" s="88" t="s">
        <v>60</v>
      </c>
      <c r="B7" s="14">
        <v>12230.125</v>
      </c>
      <c r="C7" s="14">
        <v>19827.875</v>
      </c>
      <c r="D7" s="14">
        <v>8809.0849999999991</v>
      </c>
      <c r="E7" s="14">
        <v>6945.0749999999998</v>
      </c>
      <c r="F7" s="14">
        <v>47812.159999999996</v>
      </c>
      <c r="H7" s="88" t="s">
        <v>60</v>
      </c>
      <c r="I7" s="134">
        <f t="shared" si="0"/>
        <v>0.25579528304096699</v>
      </c>
      <c r="J7" s="134">
        <f t="shared" si="1"/>
        <v>0.41470360259816752</v>
      </c>
      <c r="K7" s="134">
        <f t="shared" si="2"/>
        <v>0.1842436108303829</v>
      </c>
      <c r="L7" s="134">
        <f t="shared" si="3"/>
        <v>0.14525750353048264</v>
      </c>
      <c r="M7" s="26">
        <f t="shared" si="4"/>
        <v>1</v>
      </c>
      <c r="P7" s="88" t="s">
        <v>60</v>
      </c>
      <c r="Q7" s="14">
        <v>3968.7449999999999</v>
      </c>
      <c r="R7" s="14">
        <v>2489</v>
      </c>
      <c r="S7" s="14">
        <v>503.49</v>
      </c>
      <c r="T7" s="14">
        <v>313.8</v>
      </c>
      <c r="U7" s="14">
        <v>7275.0349999999999</v>
      </c>
      <c r="W7" s="248"/>
      <c r="X7" s="158"/>
      <c r="Y7" s="158"/>
      <c r="Z7" s="158"/>
      <c r="AA7" s="158"/>
      <c r="AB7" s="158"/>
    </row>
    <row r="8" spans="1:28" x14ac:dyDescent="0.25">
      <c r="A8" s="88" t="s">
        <v>53</v>
      </c>
      <c r="B8" s="14">
        <v>621.09</v>
      </c>
      <c r="C8" s="14">
        <v>611.30999999999995</v>
      </c>
      <c r="D8" s="14">
        <v>344.71</v>
      </c>
      <c r="E8" s="14">
        <v>640.74</v>
      </c>
      <c r="F8" s="14">
        <v>2217.8500000000004</v>
      </c>
      <c r="H8" s="88" t="s">
        <v>53</v>
      </c>
      <c r="I8" s="134">
        <f t="shared" si="0"/>
        <v>0.28004148161507764</v>
      </c>
      <c r="J8" s="134">
        <f t="shared" si="1"/>
        <v>0.27563180557747363</v>
      </c>
      <c r="K8" s="134">
        <f t="shared" si="2"/>
        <v>0.15542529927632615</v>
      </c>
      <c r="L8" s="134">
        <f t="shared" si="3"/>
        <v>0.28890141353112242</v>
      </c>
      <c r="M8" s="26">
        <f t="shared" si="4"/>
        <v>1</v>
      </c>
      <c r="P8" s="88" t="s">
        <v>53</v>
      </c>
      <c r="Q8" s="14">
        <v>308.18</v>
      </c>
      <c r="R8" s="14">
        <v>89.36</v>
      </c>
      <c r="S8" s="14">
        <v>26.26</v>
      </c>
      <c r="T8" s="14">
        <v>17.61</v>
      </c>
      <c r="U8" s="14">
        <v>441.41</v>
      </c>
      <c r="W8" s="248"/>
      <c r="X8" s="158"/>
      <c r="Y8" s="158"/>
      <c r="Z8" s="158"/>
      <c r="AA8" s="158"/>
      <c r="AB8" s="158"/>
    </row>
    <row r="9" spans="1:28" x14ac:dyDescent="0.25">
      <c r="A9" s="88" t="s">
        <v>52</v>
      </c>
      <c r="B9" s="14">
        <v>62543.13</v>
      </c>
      <c r="C9" s="14">
        <v>37823.01</v>
      </c>
      <c r="D9" s="14">
        <v>11012.485000000001</v>
      </c>
      <c r="E9" s="14">
        <v>5082.37</v>
      </c>
      <c r="F9" s="14">
        <v>116460.995</v>
      </c>
      <c r="H9" s="88" t="s">
        <v>52</v>
      </c>
      <c r="I9" s="134">
        <f t="shared" si="0"/>
        <v>0.53703070285463383</v>
      </c>
      <c r="J9" s="134">
        <f t="shared" si="1"/>
        <v>0.3247697651904829</v>
      </c>
      <c r="K9" s="134">
        <f t="shared" si="2"/>
        <v>9.4559427385967301E-2</v>
      </c>
      <c r="L9" s="134">
        <f t="shared" si="3"/>
        <v>4.3640104568915969E-2</v>
      </c>
      <c r="M9" s="26">
        <f t="shared" si="4"/>
        <v>1</v>
      </c>
      <c r="P9" s="88" t="s">
        <v>52</v>
      </c>
      <c r="Q9" s="14">
        <v>12925.86</v>
      </c>
      <c r="R9" s="14">
        <v>3666.25</v>
      </c>
      <c r="S9" s="14">
        <v>382.06</v>
      </c>
      <c r="T9" s="14">
        <v>99.16</v>
      </c>
      <c r="U9" s="14">
        <v>17073.330000000002</v>
      </c>
      <c r="W9" s="248"/>
      <c r="X9" s="158"/>
      <c r="Y9" s="158"/>
      <c r="Z9" s="158"/>
      <c r="AA9" s="158"/>
      <c r="AB9" s="158"/>
    </row>
    <row r="10" spans="1:28" x14ac:dyDescent="0.25">
      <c r="A10" s="88" t="s">
        <v>65</v>
      </c>
      <c r="B10" s="14">
        <v>0</v>
      </c>
      <c r="C10" s="14">
        <v>0</v>
      </c>
      <c r="D10" s="14">
        <v>0.38</v>
      </c>
      <c r="E10" s="14">
        <v>0</v>
      </c>
      <c r="F10" s="14">
        <v>0.38</v>
      </c>
      <c r="H10" s="88" t="s">
        <v>65</v>
      </c>
      <c r="I10" s="134">
        <f t="shared" si="0"/>
        <v>0</v>
      </c>
      <c r="J10" s="134">
        <f t="shared" si="1"/>
        <v>0</v>
      </c>
      <c r="K10" s="134">
        <f t="shared" si="2"/>
        <v>1</v>
      </c>
      <c r="L10" s="134">
        <f t="shared" si="3"/>
        <v>0</v>
      </c>
      <c r="M10" s="26">
        <f t="shared" si="4"/>
        <v>1</v>
      </c>
      <c r="P10" s="88" t="s">
        <v>65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W10" s="248"/>
      <c r="X10" s="158"/>
      <c r="Y10" s="158"/>
      <c r="Z10" s="158"/>
      <c r="AA10" s="158"/>
      <c r="AB10" s="158"/>
    </row>
    <row r="11" spans="1:28" x14ac:dyDescent="0.25">
      <c r="A11" s="88" t="s">
        <v>51</v>
      </c>
      <c r="B11" s="14">
        <v>5954.6750000000002</v>
      </c>
      <c r="C11" s="14">
        <v>7869.0649999999996</v>
      </c>
      <c r="D11" s="14">
        <v>4889.2349999999997</v>
      </c>
      <c r="E11" s="14">
        <v>5727.8225000000002</v>
      </c>
      <c r="F11" s="14">
        <v>24440.797500000001</v>
      </c>
      <c r="H11" s="88" t="s">
        <v>51</v>
      </c>
      <c r="I11" s="134">
        <f t="shared" si="0"/>
        <v>0.24363668984205611</v>
      </c>
      <c r="J11" s="134">
        <f t="shared" si="1"/>
        <v>0.32196433033742045</v>
      </c>
      <c r="K11" s="134">
        <f t="shared" si="2"/>
        <v>0.20004400429241312</v>
      </c>
      <c r="L11" s="134">
        <f t="shared" si="3"/>
        <v>0.23435497552811033</v>
      </c>
      <c r="M11" s="26">
        <f t="shared" si="4"/>
        <v>1</v>
      </c>
      <c r="P11" s="88" t="s">
        <v>51</v>
      </c>
      <c r="Q11" s="14">
        <v>4572.8800000000401</v>
      </c>
      <c r="R11" s="14">
        <v>3101.00000000001</v>
      </c>
      <c r="S11" s="14">
        <v>1029.5899999999899</v>
      </c>
      <c r="T11" s="14">
        <v>759.03999999999303</v>
      </c>
      <c r="U11" s="14">
        <v>9462.510000000033</v>
      </c>
      <c r="W11" s="248"/>
      <c r="X11" s="158"/>
      <c r="Y11" s="158"/>
      <c r="Z11" s="158"/>
      <c r="AA11" s="158"/>
      <c r="AB11" s="158"/>
    </row>
    <row r="12" spans="1:28" x14ac:dyDescent="0.25">
      <c r="A12" s="88" t="s">
        <v>54</v>
      </c>
      <c r="B12" s="14">
        <v>1288.08</v>
      </c>
      <c r="C12" s="14">
        <v>1933.42</v>
      </c>
      <c r="D12" s="14">
        <v>1035.1400000000001</v>
      </c>
      <c r="E12" s="14">
        <v>407.4</v>
      </c>
      <c r="F12" s="14">
        <v>4664.04</v>
      </c>
      <c r="H12" s="88" t="s">
        <v>54</v>
      </c>
      <c r="I12" s="134">
        <f t="shared" si="0"/>
        <v>0.27617258857128152</v>
      </c>
      <c r="J12" s="134">
        <f t="shared" si="1"/>
        <v>0.41453761116971555</v>
      </c>
      <c r="K12" s="134">
        <f t="shared" si="2"/>
        <v>0.22194063515750295</v>
      </c>
      <c r="L12" s="134">
        <f t="shared" si="3"/>
        <v>8.7349165101499981E-2</v>
      </c>
      <c r="M12" s="26">
        <f t="shared" si="4"/>
        <v>1</v>
      </c>
      <c r="P12" s="88" t="s">
        <v>54</v>
      </c>
      <c r="Q12" s="14">
        <v>4106.4800000000096</v>
      </c>
      <c r="R12" s="14">
        <v>1264.8499999999999</v>
      </c>
      <c r="S12" s="14">
        <v>158.15</v>
      </c>
      <c r="T12" s="14">
        <v>5.78</v>
      </c>
      <c r="U12" s="14">
        <v>5535.2600000000084</v>
      </c>
      <c r="W12" s="248"/>
      <c r="X12" s="158"/>
      <c r="Y12" s="158"/>
      <c r="Z12" s="158"/>
      <c r="AA12" s="158"/>
      <c r="AB12" s="158"/>
    </row>
    <row r="13" spans="1:28" x14ac:dyDescent="0.25">
      <c r="A13" s="88" t="s">
        <v>67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H13" s="88" t="s">
        <v>67</v>
      </c>
      <c r="I13" s="134"/>
      <c r="J13" s="134"/>
      <c r="K13" s="134"/>
      <c r="L13" s="134"/>
      <c r="M13" s="26"/>
      <c r="P13" s="88" t="s">
        <v>67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W13" s="248"/>
      <c r="X13" s="158"/>
      <c r="Y13" s="158"/>
      <c r="Z13" s="158"/>
      <c r="AA13" s="158"/>
      <c r="AB13" s="158"/>
    </row>
    <row r="14" spans="1:28" x14ac:dyDescent="0.25">
      <c r="A14" s="88" t="s">
        <v>75</v>
      </c>
      <c r="B14" s="14">
        <v>2261.06</v>
      </c>
      <c r="C14" s="14">
        <v>727.77</v>
      </c>
      <c r="D14" s="14">
        <v>256.86</v>
      </c>
      <c r="E14" s="14">
        <v>186.83699999999999</v>
      </c>
      <c r="F14" s="14">
        <v>3432.527</v>
      </c>
      <c r="H14" s="88" t="s">
        <v>75</v>
      </c>
      <c r="I14" s="134">
        <f t="shared" si="0"/>
        <v>0.65871586734787513</v>
      </c>
      <c r="J14" s="134">
        <f t="shared" si="1"/>
        <v>0.21202163886839054</v>
      </c>
      <c r="K14" s="134">
        <f t="shared" si="2"/>
        <v>7.4831166659431958E-2</v>
      </c>
      <c r="L14" s="134">
        <f t="shared" si="3"/>
        <v>5.4431327124302299E-2</v>
      </c>
      <c r="M14" s="26">
        <f t="shared" si="4"/>
        <v>1</v>
      </c>
      <c r="P14" s="88" t="s">
        <v>75</v>
      </c>
      <c r="Q14" s="14">
        <v>401.81</v>
      </c>
      <c r="R14" s="14">
        <v>41.71</v>
      </c>
      <c r="S14" s="14">
        <v>5.47</v>
      </c>
      <c r="T14" s="14">
        <v>0.17</v>
      </c>
      <c r="U14" s="14">
        <v>449.16</v>
      </c>
      <c r="W14" s="248"/>
      <c r="X14" s="158"/>
      <c r="Y14" s="158"/>
      <c r="Z14" s="158"/>
      <c r="AA14" s="158"/>
      <c r="AB14" s="158"/>
    </row>
    <row r="15" spans="1:28" x14ac:dyDescent="0.25">
      <c r="A15" s="88" t="s">
        <v>55</v>
      </c>
      <c r="B15" s="14">
        <v>1034.99</v>
      </c>
      <c r="C15" s="14">
        <v>1474.73</v>
      </c>
      <c r="D15" s="14">
        <v>1099.55</v>
      </c>
      <c r="E15" s="14">
        <v>1649.3330000000001</v>
      </c>
      <c r="F15" s="14">
        <v>5258.603000000001</v>
      </c>
      <c r="H15" s="88" t="s">
        <v>55</v>
      </c>
      <c r="I15" s="134">
        <f t="shared" si="0"/>
        <v>0.19681843257610429</v>
      </c>
      <c r="J15" s="134">
        <f t="shared" si="1"/>
        <v>0.28044140240288146</v>
      </c>
      <c r="K15" s="134">
        <f t="shared" si="2"/>
        <v>0.20909545748176839</v>
      </c>
      <c r="L15" s="134">
        <f t="shared" si="3"/>
        <v>0.31364470753924567</v>
      </c>
      <c r="M15" s="26">
        <f t="shared" si="4"/>
        <v>1</v>
      </c>
      <c r="P15" s="88" t="s">
        <v>55</v>
      </c>
      <c r="Q15" s="14">
        <v>469.81099999999998</v>
      </c>
      <c r="R15" s="14">
        <v>151.43700000000001</v>
      </c>
      <c r="S15" s="14">
        <v>40.86</v>
      </c>
      <c r="T15" s="14">
        <v>27.361999999999998</v>
      </c>
      <c r="U15" s="14">
        <v>689.47</v>
      </c>
      <c r="W15" s="248"/>
      <c r="X15" s="158"/>
      <c r="Y15" s="158"/>
      <c r="Z15" s="158"/>
      <c r="AA15" s="158"/>
      <c r="AB15" s="158"/>
    </row>
    <row r="16" spans="1:28" x14ac:dyDescent="0.25">
      <c r="A16" s="88" t="s">
        <v>80</v>
      </c>
      <c r="B16" s="14">
        <v>55.73</v>
      </c>
      <c r="C16" s="14">
        <v>55</v>
      </c>
      <c r="D16" s="14">
        <v>62.12</v>
      </c>
      <c r="E16" s="14">
        <v>25.87</v>
      </c>
      <c r="F16" s="14">
        <v>198.72</v>
      </c>
      <c r="H16" s="88" t="s">
        <v>80</v>
      </c>
      <c r="I16" s="134">
        <f t="shared" si="0"/>
        <v>0.28044484702093397</v>
      </c>
      <c r="J16" s="134">
        <f t="shared" si="1"/>
        <v>0.27677133655394526</v>
      </c>
      <c r="K16" s="134">
        <f t="shared" si="2"/>
        <v>0.31260064412238325</v>
      </c>
      <c r="L16" s="134">
        <f t="shared" si="3"/>
        <v>0.13018317230273752</v>
      </c>
      <c r="M16" s="26">
        <f t="shared" si="4"/>
        <v>1</v>
      </c>
      <c r="P16" s="88" t="s">
        <v>80</v>
      </c>
      <c r="Q16" s="14">
        <v>18.43</v>
      </c>
      <c r="R16" s="14">
        <v>3.79</v>
      </c>
      <c r="S16" s="14">
        <v>13.03</v>
      </c>
      <c r="T16" s="14">
        <v>0</v>
      </c>
      <c r="U16" s="14">
        <v>35.25</v>
      </c>
      <c r="W16" s="248"/>
      <c r="X16" s="158"/>
      <c r="Y16" s="158"/>
      <c r="Z16" s="158"/>
      <c r="AA16" s="158"/>
      <c r="AB16" s="158"/>
    </row>
    <row r="17" spans="1:28" x14ac:dyDescent="0.25">
      <c r="A17" s="88" t="s">
        <v>56</v>
      </c>
      <c r="B17" s="14">
        <v>17654.505000000001</v>
      </c>
      <c r="C17" s="14">
        <v>30345</v>
      </c>
      <c r="D17" s="14">
        <v>10980.075000000001</v>
      </c>
      <c r="E17" s="14">
        <v>10497.51</v>
      </c>
      <c r="F17" s="14">
        <v>69477.09</v>
      </c>
      <c r="H17" s="88" t="s">
        <v>56</v>
      </c>
      <c r="I17" s="134">
        <f t="shared" si="0"/>
        <v>0.25410541805939196</v>
      </c>
      <c r="J17" s="134">
        <f t="shared" si="1"/>
        <v>0.43676267961136545</v>
      </c>
      <c r="K17" s="134">
        <f t="shared" si="2"/>
        <v>0.15803878659857518</v>
      </c>
      <c r="L17" s="134">
        <f t="shared" si="3"/>
        <v>0.1510931157306675</v>
      </c>
      <c r="M17" s="26">
        <f t="shared" si="4"/>
        <v>1</v>
      </c>
      <c r="P17" s="88" t="s">
        <v>56</v>
      </c>
      <c r="Q17" s="14">
        <v>3850.19</v>
      </c>
      <c r="R17" s="14">
        <v>1981.58</v>
      </c>
      <c r="S17" s="14">
        <v>536.59500000000003</v>
      </c>
      <c r="T17" s="14">
        <v>241.9</v>
      </c>
      <c r="U17" s="14">
        <v>6610.2650000000003</v>
      </c>
      <c r="W17" s="248"/>
      <c r="X17" s="158"/>
      <c r="Y17" s="158"/>
      <c r="Z17" s="158"/>
      <c r="AA17" s="158"/>
      <c r="AB17" s="158"/>
    </row>
    <row r="18" spans="1:28" x14ac:dyDescent="0.25">
      <c r="A18" s="88" t="s">
        <v>57</v>
      </c>
      <c r="B18" s="14">
        <v>340.47</v>
      </c>
      <c r="C18" s="14">
        <v>364.04</v>
      </c>
      <c r="D18" s="14">
        <v>236.09</v>
      </c>
      <c r="E18" s="14">
        <v>340.74</v>
      </c>
      <c r="F18" s="14">
        <v>1281.3400000000001</v>
      </c>
      <c r="H18" s="88" t="s">
        <v>57</v>
      </c>
      <c r="I18" s="134">
        <f t="shared" si="0"/>
        <v>0.26571401813726253</v>
      </c>
      <c r="J18" s="134">
        <f t="shared" si="1"/>
        <v>0.28410882357531958</v>
      </c>
      <c r="K18" s="134">
        <f t="shared" si="2"/>
        <v>0.18425242324441599</v>
      </c>
      <c r="L18" s="134">
        <f t="shared" si="3"/>
        <v>0.26592473504300185</v>
      </c>
      <c r="M18" s="26">
        <f t="shared" si="4"/>
        <v>1</v>
      </c>
      <c r="P18" s="88" t="s">
        <v>57</v>
      </c>
      <c r="Q18" s="14">
        <v>985.5</v>
      </c>
      <c r="R18" s="14">
        <v>442.94</v>
      </c>
      <c r="S18" s="14">
        <v>88.43</v>
      </c>
      <c r="T18" s="14">
        <v>34.549999999999997</v>
      </c>
      <c r="U18" s="14">
        <v>1551.42</v>
      </c>
      <c r="W18" s="248"/>
      <c r="X18" s="158"/>
      <c r="Y18" s="158"/>
      <c r="Z18" s="158"/>
      <c r="AA18" s="158"/>
      <c r="AB18" s="158"/>
    </row>
    <row r="19" spans="1:28" x14ac:dyDescent="0.25">
      <c r="A19" s="88" t="s">
        <v>86</v>
      </c>
      <c r="B19" s="14">
        <v>0</v>
      </c>
      <c r="C19" s="14">
        <v>0.11</v>
      </c>
      <c r="D19" s="14">
        <v>0.83</v>
      </c>
      <c r="E19" s="14">
        <v>7.64</v>
      </c>
      <c r="F19" s="14">
        <v>8.58</v>
      </c>
      <c r="H19" s="88" t="s">
        <v>86</v>
      </c>
      <c r="I19" s="134">
        <f t="shared" si="0"/>
        <v>0</v>
      </c>
      <c r="J19" s="134">
        <f t="shared" si="1"/>
        <v>1.282051282051282E-2</v>
      </c>
      <c r="K19" s="134">
        <f t="shared" si="2"/>
        <v>9.6736596736596736E-2</v>
      </c>
      <c r="L19" s="134">
        <f t="shared" si="3"/>
        <v>0.89044289044289038</v>
      </c>
      <c r="M19" s="26">
        <f t="shared" si="4"/>
        <v>1</v>
      </c>
      <c r="P19" s="88" t="s">
        <v>86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W19" s="248"/>
      <c r="X19" s="158"/>
      <c r="Y19" s="158"/>
      <c r="Z19" s="158"/>
      <c r="AA19" s="158"/>
      <c r="AB19" s="158"/>
    </row>
    <row r="20" spans="1:28" x14ac:dyDescent="0.25">
      <c r="A20" s="44" t="s">
        <v>59</v>
      </c>
      <c r="B20" s="45">
        <v>145008.920000001</v>
      </c>
      <c r="C20" s="45">
        <v>159197.844000001</v>
      </c>
      <c r="D20" s="45">
        <v>74215.818000000203</v>
      </c>
      <c r="E20" s="45">
        <v>94094.162500001301</v>
      </c>
      <c r="F20" s="45">
        <v>472516.74450000352</v>
      </c>
      <c r="H20" s="44" t="s">
        <v>59</v>
      </c>
      <c r="I20" s="46">
        <f t="shared" si="0"/>
        <v>0.30688630971891395</v>
      </c>
      <c r="J20" s="46">
        <f t="shared" si="1"/>
        <v>0.33691471435251924</v>
      </c>
      <c r="K20" s="46">
        <f t="shared" si="2"/>
        <v>0.15706494820312056</v>
      </c>
      <c r="L20" s="46">
        <f t="shared" si="3"/>
        <v>0.19913402772544625</v>
      </c>
      <c r="M20" s="46">
        <f t="shared" si="4"/>
        <v>1</v>
      </c>
      <c r="P20" s="60" t="s">
        <v>59</v>
      </c>
      <c r="Q20" s="61">
        <v>54080.146000000001</v>
      </c>
      <c r="R20" s="61">
        <v>24081.386999999999</v>
      </c>
      <c r="S20" s="61">
        <v>5463.125</v>
      </c>
      <c r="T20" s="61">
        <v>2526.09533333333</v>
      </c>
      <c r="U20" s="61">
        <v>86150.753333333327</v>
      </c>
      <c r="W20" s="111"/>
      <c r="X20" s="258"/>
      <c r="Y20" s="258"/>
      <c r="Z20" s="258"/>
      <c r="AA20" s="258"/>
      <c r="AB20" s="258"/>
    </row>
    <row r="21" spans="1:28" x14ac:dyDescent="0.25">
      <c r="A21" s="254"/>
      <c r="B21" s="165"/>
      <c r="W21" s="185"/>
      <c r="X21" s="185"/>
      <c r="Y21" s="185"/>
      <c r="Z21" s="185"/>
      <c r="AA21" s="185"/>
      <c r="AB21" s="185"/>
    </row>
    <row r="22" spans="1:28" x14ac:dyDescent="0.25">
      <c r="W22" s="185"/>
      <c r="X22" s="185"/>
      <c r="Y22" s="185"/>
      <c r="Z22" s="185"/>
      <c r="AA22" s="185"/>
      <c r="AB22" s="185"/>
    </row>
    <row r="23" spans="1:28" ht="18.75" x14ac:dyDescent="0.3">
      <c r="A23" s="308" t="s">
        <v>104</v>
      </c>
      <c r="B23" s="308"/>
    </row>
    <row r="24" spans="1:28" x14ac:dyDescent="0.25">
      <c r="A24" s="90" t="s">
        <v>94</v>
      </c>
      <c r="B24" s="90" t="s">
        <v>99</v>
      </c>
      <c r="C24" s="90" t="s">
        <v>100</v>
      </c>
      <c r="D24" s="90" t="s">
        <v>101</v>
      </c>
      <c r="E24" s="90" t="s">
        <v>102</v>
      </c>
      <c r="F24" s="90" t="s">
        <v>103</v>
      </c>
      <c r="H24" s="90" t="s">
        <v>94</v>
      </c>
      <c r="I24" s="90" t="s">
        <v>99</v>
      </c>
      <c r="J24" s="90" t="s">
        <v>100</v>
      </c>
      <c r="K24" s="90" t="s">
        <v>101</v>
      </c>
      <c r="L24" s="90" t="s">
        <v>102</v>
      </c>
      <c r="M24" s="90" t="s">
        <v>103</v>
      </c>
      <c r="N24" s="90" t="s">
        <v>115</v>
      </c>
      <c r="O24" s="257"/>
      <c r="P24" s="89" t="s">
        <v>94</v>
      </c>
      <c r="Q24" s="89" t="s">
        <v>99</v>
      </c>
      <c r="R24" s="89" t="s">
        <v>100</v>
      </c>
      <c r="S24" s="89" t="s">
        <v>101</v>
      </c>
      <c r="T24" s="89" t="s">
        <v>102</v>
      </c>
      <c r="U24" s="89" t="s">
        <v>103</v>
      </c>
    </row>
    <row r="25" spans="1:28" x14ac:dyDescent="0.25">
      <c r="A25" s="88" t="s">
        <v>49</v>
      </c>
      <c r="B25" s="14">
        <v>41341.864999999998</v>
      </c>
      <c r="C25" s="14">
        <v>42009.343999999997</v>
      </c>
      <c r="D25" s="14">
        <v>25059.788</v>
      </c>
      <c r="E25" s="14">
        <v>51299.788333333403</v>
      </c>
      <c r="F25" s="14">
        <v>159710.78533333342</v>
      </c>
      <c r="H25" s="88" t="s">
        <v>49</v>
      </c>
      <c r="I25" s="26">
        <f t="shared" ref="I25:I41" si="5">IFERROR(B25/$F25,"")</f>
        <v>0.25885455959480208</v>
      </c>
      <c r="J25" s="26">
        <f t="shared" ref="J25:J41" si="6">IFERROR(C25/$F25,"")</f>
        <v>0.26303385780942734</v>
      </c>
      <c r="K25" s="26">
        <f t="shared" ref="K25:K41" si="7">IFERROR(D25/$F25,"")</f>
        <v>0.15690729932670203</v>
      </c>
      <c r="L25" s="26">
        <f>IFERROR(E25/$F25,"")</f>
        <v>0.32120428326906841</v>
      </c>
      <c r="M25" s="26">
        <f t="shared" ref="M25:M41" si="8">IFERROR(F25/$F25,"")</f>
        <v>1</v>
      </c>
      <c r="N25" s="26">
        <f t="shared" ref="N25:N40" si="9">IFERROR(F25/$F$41,"")</f>
        <v>0.28587806871302662</v>
      </c>
      <c r="O25" s="91"/>
      <c r="P25" s="88" t="s">
        <v>49</v>
      </c>
      <c r="Q25" s="26">
        <f>Q4/U4</f>
        <v>0.63858846720180062</v>
      </c>
      <c r="R25" s="26">
        <f>R4/U4</f>
        <v>0.23729901739607229</v>
      </c>
      <c r="S25" s="26">
        <f>S4/U4</f>
        <v>8.5554149711810898E-2</v>
      </c>
      <c r="T25" s="26">
        <f>T4/U4</f>
        <v>3.8558365690316343E-2</v>
      </c>
      <c r="U25" s="26">
        <f>U4/U4</f>
        <v>1</v>
      </c>
      <c r="W25" s="91"/>
    </row>
    <row r="26" spans="1:28" x14ac:dyDescent="0.25">
      <c r="A26" s="88" t="s">
        <v>50</v>
      </c>
      <c r="B26" s="14">
        <v>22155.46</v>
      </c>
      <c r="C26" s="14">
        <v>27006.639999999999</v>
      </c>
      <c r="D26" s="14">
        <v>13108.66</v>
      </c>
      <c r="E26" s="14">
        <v>12309.76</v>
      </c>
      <c r="F26" s="14">
        <v>74580.51999999999</v>
      </c>
      <c r="H26" s="88" t="s">
        <v>50</v>
      </c>
      <c r="I26" s="26">
        <f t="shared" si="5"/>
        <v>0.2970676525183788</v>
      </c>
      <c r="J26" s="26">
        <f t="shared" si="6"/>
        <v>0.36211386029488668</v>
      </c>
      <c r="K26" s="26">
        <f t="shared" si="7"/>
        <v>0.17576519981357064</v>
      </c>
      <c r="L26" s="26">
        <f t="shared" ref="L26:L41" si="10">IFERROR(E26/$F26,"")</f>
        <v>0.16505328737316396</v>
      </c>
      <c r="M26" s="26">
        <f t="shared" si="8"/>
        <v>1</v>
      </c>
      <c r="N26" s="26">
        <f t="shared" si="9"/>
        <v>0.13349715222246383</v>
      </c>
      <c r="O26" s="91"/>
      <c r="P26" s="88" t="s">
        <v>50</v>
      </c>
      <c r="Q26" s="26">
        <f t="shared" ref="Q26:Q41" si="11">Q5/U5</f>
        <v>0.56650736929546275</v>
      </c>
      <c r="R26" s="26">
        <f t="shared" ref="R26:R41" si="12">R5/U5</f>
        <v>0.3640434416096695</v>
      </c>
      <c r="S26" s="26">
        <f t="shared" ref="S26:S41" si="13">S5/U5</f>
        <v>5.5528999166852652E-2</v>
      </c>
      <c r="T26" s="26">
        <f t="shared" ref="T26:T41" si="14">T5/U5</f>
        <v>1.3920189928015053E-2</v>
      </c>
      <c r="U26" s="26">
        <f t="shared" ref="U26:U41" si="15">U5/U5</f>
        <v>1</v>
      </c>
    </row>
    <row r="27" spans="1:28" x14ac:dyDescent="0.25">
      <c r="A27" s="88" t="s">
        <v>63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H27" s="88" t="s">
        <v>63</v>
      </c>
      <c r="I27" s="26" t="str">
        <f t="shared" si="5"/>
        <v/>
      </c>
      <c r="J27" s="26" t="str">
        <f t="shared" si="6"/>
        <v/>
      </c>
      <c r="K27" s="26" t="str">
        <f t="shared" si="7"/>
        <v/>
      </c>
      <c r="L27" s="26" t="str">
        <f t="shared" si="10"/>
        <v/>
      </c>
      <c r="M27" s="26" t="str">
        <f t="shared" si="8"/>
        <v/>
      </c>
      <c r="N27" s="26">
        <f t="shared" si="9"/>
        <v>0</v>
      </c>
      <c r="O27" s="91"/>
      <c r="P27" s="88" t="s">
        <v>63</v>
      </c>
      <c r="Q27" s="26"/>
      <c r="R27" s="26"/>
      <c r="S27" s="26"/>
      <c r="T27" s="26"/>
      <c r="U27" s="26"/>
    </row>
    <row r="28" spans="1:28" x14ac:dyDescent="0.25">
      <c r="A28" s="88" t="s">
        <v>60</v>
      </c>
      <c r="B28" s="14">
        <v>16198.87</v>
      </c>
      <c r="C28" s="14">
        <v>22316.875</v>
      </c>
      <c r="D28" s="14">
        <v>9312.5750000000007</v>
      </c>
      <c r="E28" s="14">
        <v>7258.875</v>
      </c>
      <c r="F28" s="14">
        <v>55087.195000000007</v>
      </c>
      <c r="H28" s="88" t="s">
        <v>60</v>
      </c>
      <c r="I28" s="26">
        <f t="shared" si="5"/>
        <v>0.29405871909070697</v>
      </c>
      <c r="J28" s="26">
        <f t="shared" si="6"/>
        <v>0.40511910254279598</v>
      </c>
      <c r="K28" s="26">
        <f t="shared" si="7"/>
        <v>0.16905153729464714</v>
      </c>
      <c r="L28" s="26">
        <f t="shared" si="10"/>
        <v>0.1317706410718498</v>
      </c>
      <c r="M28" s="26">
        <f t="shared" si="8"/>
        <v>1</v>
      </c>
      <c r="N28" s="26">
        <f t="shared" si="9"/>
        <v>9.8604617618964704E-2</v>
      </c>
      <c r="O28" s="91"/>
      <c r="P28" s="88" t="s">
        <v>60</v>
      </c>
      <c r="Q28" s="26">
        <f t="shared" si="11"/>
        <v>0.54552933422313432</v>
      </c>
      <c r="R28" s="26">
        <f t="shared" si="12"/>
        <v>0.34212893821129381</v>
      </c>
      <c r="S28" s="26">
        <f t="shared" si="13"/>
        <v>6.9207914463641759E-2</v>
      </c>
      <c r="T28" s="26">
        <f t="shared" si="14"/>
        <v>4.3133813101930096E-2</v>
      </c>
      <c r="U28" s="26">
        <f t="shared" si="15"/>
        <v>1</v>
      </c>
    </row>
    <row r="29" spans="1:28" x14ac:dyDescent="0.25">
      <c r="A29" s="88" t="s">
        <v>53</v>
      </c>
      <c r="B29" s="14">
        <v>929.27</v>
      </c>
      <c r="C29" s="14">
        <v>700.67</v>
      </c>
      <c r="D29" s="14">
        <v>370.97</v>
      </c>
      <c r="E29" s="14">
        <v>658.35</v>
      </c>
      <c r="F29" s="14">
        <v>2659.26</v>
      </c>
      <c r="H29" s="88" t="s">
        <v>53</v>
      </c>
      <c r="I29" s="26">
        <f t="shared" si="5"/>
        <v>0.34944683859419534</v>
      </c>
      <c r="J29" s="26">
        <f t="shared" si="6"/>
        <v>0.26348307423869793</v>
      </c>
      <c r="K29" s="26">
        <f t="shared" si="7"/>
        <v>0.13950121462361709</v>
      </c>
      <c r="L29" s="26">
        <f t="shared" si="10"/>
        <v>0.24756887254348953</v>
      </c>
      <c r="M29" s="26">
        <f t="shared" si="8"/>
        <v>1</v>
      </c>
      <c r="N29" s="26">
        <f t="shared" si="9"/>
        <v>4.7600048513889315E-3</v>
      </c>
      <c r="O29" s="91"/>
      <c r="P29" s="88" t="s">
        <v>53</v>
      </c>
      <c r="Q29" s="26">
        <f t="shared" si="11"/>
        <v>0.69817176774427403</v>
      </c>
      <c r="R29" s="26">
        <f t="shared" si="12"/>
        <v>0.20244217394259303</v>
      </c>
      <c r="S29" s="26">
        <f t="shared" si="13"/>
        <v>5.9491176004168457E-2</v>
      </c>
      <c r="T29" s="26">
        <f t="shared" si="14"/>
        <v>3.9894882308964451E-2</v>
      </c>
      <c r="U29" s="26">
        <f t="shared" si="15"/>
        <v>1</v>
      </c>
    </row>
    <row r="30" spans="1:28" x14ac:dyDescent="0.25">
      <c r="A30" s="88" t="s">
        <v>52</v>
      </c>
      <c r="B30" s="14">
        <v>75468.990000000005</v>
      </c>
      <c r="C30" s="14">
        <v>41489.26</v>
      </c>
      <c r="D30" s="14">
        <v>11394.545</v>
      </c>
      <c r="E30" s="14">
        <v>5181.53</v>
      </c>
      <c r="F30" s="14">
        <v>133534.32500000001</v>
      </c>
      <c r="H30" s="88" t="s">
        <v>52</v>
      </c>
      <c r="I30" s="26">
        <f t="shared" si="5"/>
        <v>0.56516547337173417</v>
      </c>
      <c r="J30" s="26">
        <f t="shared" si="6"/>
        <v>0.31070108752936743</v>
      </c>
      <c r="K30" s="26">
        <f t="shared" si="7"/>
        <v>8.5330457168971335E-2</v>
      </c>
      <c r="L30" s="26">
        <f t="shared" si="10"/>
        <v>3.8802981929927004E-2</v>
      </c>
      <c r="M30" s="26">
        <f t="shared" si="8"/>
        <v>1</v>
      </c>
      <c r="N30" s="26">
        <f t="shared" si="9"/>
        <v>0.23902289916252878</v>
      </c>
      <c r="O30" s="91"/>
      <c r="P30" s="88" t="s">
        <v>52</v>
      </c>
      <c r="Q30" s="26">
        <f t="shared" si="11"/>
        <v>0.75707902324854026</v>
      </c>
      <c r="R30" s="26">
        <f t="shared" si="12"/>
        <v>0.2147354968245796</v>
      </c>
      <c r="S30" s="26">
        <f t="shared" si="13"/>
        <v>2.2377591249041633E-2</v>
      </c>
      <c r="T30" s="26">
        <f t="shared" si="14"/>
        <v>5.8078886778384761E-3</v>
      </c>
      <c r="U30" s="26">
        <f t="shared" si="15"/>
        <v>1</v>
      </c>
    </row>
    <row r="31" spans="1:28" x14ac:dyDescent="0.25">
      <c r="A31" s="88" t="s">
        <v>65</v>
      </c>
      <c r="B31" s="14">
        <v>0</v>
      </c>
      <c r="C31" s="14">
        <v>0</v>
      </c>
      <c r="D31" s="14">
        <v>0.38</v>
      </c>
      <c r="E31" s="14">
        <v>0</v>
      </c>
      <c r="F31" s="14">
        <v>0.38</v>
      </c>
      <c r="H31" s="88" t="s">
        <v>65</v>
      </c>
      <c r="I31" s="26">
        <f t="shared" si="5"/>
        <v>0</v>
      </c>
      <c r="J31" s="26">
        <f t="shared" si="6"/>
        <v>0</v>
      </c>
      <c r="K31" s="26">
        <f t="shared" si="7"/>
        <v>1</v>
      </c>
      <c r="L31" s="26">
        <f t="shared" si="10"/>
        <v>0</v>
      </c>
      <c r="M31" s="26">
        <f t="shared" si="8"/>
        <v>1</v>
      </c>
      <c r="N31" s="26">
        <f t="shared" si="9"/>
        <v>6.8018991882245208E-7</v>
      </c>
      <c r="O31" s="91"/>
      <c r="P31" s="88" t="s">
        <v>65</v>
      </c>
      <c r="Q31" s="26"/>
      <c r="R31" s="26"/>
      <c r="S31" s="26"/>
      <c r="T31" s="26"/>
      <c r="U31" s="26"/>
    </row>
    <row r="32" spans="1:28" x14ac:dyDescent="0.25">
      <c r="A32" s="88" t="s">
        <v>51</v>
      </c>
      <c r="B32" s="14">
        <v>10527.555</v>
      </c>
      <c r="C32" s="14">
        <v>10970.065000000001</v>
      </c>
      <c r="D32" s="14">
        <v>5918.8249999999998</v>
      </c>
      <c r="E32" s="14">
        <v>6486.8625000000002</v>
      </c>
      <c r="F32" s="14">
        <v>33903.307500000003</v>
      </c>
      <c r="H32" s="88" t="s">
        <v>51</v>
      </c>
      <c r="I32" s="26">
        <f t="shared" si="5"/>
        <v>0.31051704911091638</v>
      </c>
      <c r="J32" s="26">
        <f t="shared" si="6"/>
        <v>0.32356916799341773</v>
      </c>
      <c r="K32" s="26">
        <f t="shared" si="7"/>
        <v>0.17457957457395565</v>
      </c>
      <c r="L32" s="26">
        <f t="shared" si="10"/>
        <v>0.19133420832171019</v>
      </c>
      <c r="M32" s="26">
        <f t="shared" si="8"/>
        <v>1</v>
      </c>
      <c r="N32" s="26">
        <f t="shared" si="9"/>
        <v>6.0686020990099031E-2</v>
      </c>
      <c r="O32" s="91"/>
      <c r="P32" s="88" t="s">
        <v>51</v>
      </c>
      <c r="Q32" s="26">
        <f t="shared" si="11"/>
        <v>0.48326289747646495</v>
      </c>
      <c r="R32" s="26">
        <f t="shared" si="12"/>
        <v>0.32771431681446034</v>
      </c>
      <c r="S32" s="26">
        <f t="shared" si="13"/>
        <v>0.10880728263431017</v>
      </c>
      <c r="T32" s="26">
        <f t="shared" si="14"/>
        <v>8.0215503074764563E-2</v>
      </c>
      <c r="U32" s="26">
        <f t="shared" si="15"/>
        <v>1</v>
      </c>
    </row>
    <row r="33" spans="1:21" x14ac:dyDescent="0.25">
      <c r="A33" s="88" t="s">
        <v>54</v>
      </c>
      <c r="B33" s="14">
        <v>5394.56</v>
      </c>
      <c r="C33" s="14">
        <v>3198.27</v>
      </c>
      <c r="D33" s="14">
        <v>1193.29</v>
      </c>
      <c r="E33" s="14">
        <v>413.18</v>
      </c>
      <c r="F33" s="14">
        <v>10199.299999999999</v>
      </c>
      <c r="H33" s="88" t="s">
        <v>54</v>
      </c>
      <c r="I33" s="26">
        <f t="shared" si="5"/>
        <v>0.52891472944221674</v>
      </c>
      <c r="J33" s="26">
        <f t="shared" si="6"/>
        <v>0.31357740237075094</v>
      </c>
      <c r="K33" s="26">
        <f t="shared" si="7"/>
        <v>0.11699724490896435</v>
      </c>
      <c r="L33" s="26">
        <f t="shared" si="10"/>
        <v>4.0510623278068106E-2</v>
      </c>
      <c r="M33" s="26">
        <f t="shared" si="8"/>
        <v>1</v>
      </c>
      <c r="N33" s="26">
        <f t="shared" si="9"/>
        <v>1.8256476418541671E-2</v>
      </c>
      <c r="O33" s="91"/>
      <c r="P33" s="88" t="s">
        <v>54</v>
      </c>
      <c r="Q33" s="26">
        <f t="shared" si="11"/>
        <v>0.74187662368163432</v>
      </c>
      <c r="R33" s="26">
        <f t="shared" si="12"/>
        <v>0.22850778463884225</v>
      </c>
      <c r="S33" s="26">
        <f t="shared" si="13"/>
        <v>2.8571376954289369E-2</v>
      </c>
      <c r="T33" s="26">
        <f t="shared" si="14"/>
        <v>1.0442147252342241E-3</v>
      </c>
      <c r="U33" s="26">
        <f t="shared" si="15"/>
        <v>1</v>
      </c>
    </row>
    <row r="34" spans="1:21" x14ac:dyDescent="0.25">
      <c r="A34" s="88" t="s">
        <v>67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H34" s="88" t="s">
        <v>67</v>
      </c>
      <c r="I34" s="26" t="str">
        <f t="shared" si="5"/>
        <v/>
      </c>
      <c r="J34" s="26" t="str">
        <f t="shared" si="6"/>
        <v/>
      </c>
      <c r="K34" s="26" t="str">
        <f t="shared" si="7"/>
        <v/>
      </c>
      <c r="L34" s="26" t="str">
        <f t="shared" si="10"/>
        <v/>
      </c>
      <c r="M34" s="26" t="str">
        <f t="shared" si="8"/>
        <v/>
      </c>
      <c r="N34" s="26">
        <f t="shared" si="9"/>
        <v>0</v>
      </c>
      <c r="O34" s="91"/>
      <c r="P34" s="88" t="s">
        <v>67</v>
      </c>
      <c r="Q34" s="26"/>
      <c r="R34" s="26"/>
      <c r="S34" s="26"/>
      <c r="T34" s="26"/>
      <c r="U34" s="26"/>
    </row>
    <row r="35" spans="1:21" x14ac:dyDescent="0.25">
      <c r="A35" s="88" t="s">
        <v>75</v>
      </c>
      <c r="B35" s="14">
        <v>2662.87</v>
      </c>
      <c r="C35" s="14">
        <v>769.48</v>
      </c>
      <c r="D35" s="14">
        <v>262.33</v>
      </c>
      <c r="E35" s="14">
        <v>187.00700000000001</v>
      </c>
      <c r="F35" s="14">
        <v>3881.6869999999999</v>
      </c>
      <c r="H35" s="88" t="s">
        <v>75</v>
      </c>
      <c r="I35" s="26">
        <f t="shared" si="5"/>
        <v>0.68600842880943258</v>
      </c>
      <c r="J35" s="26">
        <f t="shared" si="6"/>
        <v>0.19823339697404763</v>
      </c>
      <c r="K35" s="26">
        <f t="shared" si="7"/>
        <v>6.7581440749859528E-2</v>
      </c>
      <c r="L35" s="26">
        <f t="shared" si="10"/>
        <v>4.8176733466660245E-2</v>
      </c>
      <c r="M35" s="26">
        <f t="shared" si="8"/>
        <v>1</v>
      </c>
      <c r="N35" s="26">
        <f t="shared" si="9"/>
        <v>6.9481167511162298E-3</v>
      </c>
      <c r="O35" s="91"/>
      <c r="P35" s="88" t="s">
        <v>75</v>
      </c>
      <c r="Q35" s="26">
        <f t="shared" si="11"/>
        <v>0.89458099563629878</v>
      </c>
      <c r="R35" s="26">
        <f t="shared" si="12"/>
        <v>9.2862231721435567E-2</v>
      </c>
      <c r="S35" s="26">
        <f t="shared" si="13"/>
        <v>1.2178288360495145E-2</v>
      </c>
      <c r="T35" s="26">
        <f t="shared" si="14"/>
        <v>3.7848428177041587E-4</v>
      </c>
      <c r="U35" s="26">
        <f t="shared" si="15"/>
        <v>1</v>
      </c>
    </row>
    <row r="36" spans="1:21" x14ac:dyDescent="0.25">
      <c r="A36" s="88" t="s">
        <v>55</v>
      </c>
      <c r="B36" s="14">
        <v>1504.8009999999999</v>
      </c>
      <c r="C36" s="14">
        <v>1626.1669999999999</v>
      </c>
      <c r="D36" s="14">
        <v>1140.4100000000001</v>
      </c>
      <c r="E36" s="14">
        <v>1676.6949999999999</v>
      </c>
      <c r="F36" s="14">
        <v>5948.0729999999994</v>
      </c>
      <c r="H36" s="88" t="s">
        <v>55</v>
      </c>
      <c r="I36" s="26">
        <f t="shared" si="5"/>
        <v>0.25298966572871584</v>
      </c>
      <c r="J36" s="26">
        <f t="shared" si="6"/>
        <v>0.27339392102282539</v>
      </c>
      <c r="K36" s="26">
        <f t="shared" si="7"/>
        <v>0.1917276401954045</v>
      </c>
      <c r="L36" s="26">
        <f t="shared" si="10"/>
        <v>0.28188877305305432</v>
      </c>
      <c r="M36" s="26">
        <f t="shared" si="8"/>
        <v>1</v>
      </c>
      <c r="N36" s="26">
        <f t="shared" si="9"/>
        <v>1.0646892871105311E-2</v>
      </c>
      <c r="O36" s="91"/>
      <c r="P36" s="88" t="s">
        <v>55</v>
      </c>
      <c r="Q36" s="26">
        <f t="shared" si="11"/>
        <v>0.68140890829187628</v>
      </c>
      <c r="R36" s="26">
        <f t="shared" si="12"/>
        <v>0.21964262404455598</v>
      </c>
      <c r="S36" s="26">
        <f t="shared" si="13"/>
        <v>5.9262912091896672E-2</v>
      </c>
      <c r="T36" s="26">
        <f t="shared" si="14"/>
        <v>3.9685555571670993E-2</v>
      </c>
      <c r="U36" s="26">
        <f t="shared" si="15"/>
        <v>1</v>
      </c>
    </row>
    <row r="37" spans="1:21" x14ac:dyDescent="0.25">
      <c r="A37" s="88" t="s">
        <v>80</v>
      </c>
      <c r="B37" s="14">
        <v>74.16</v>
      </c>
      <c r="C37" s="14">
        <v>58.79</v>
      </c>
      <c r="D37" s="14">
        <v>75.150000000000006</v>
      </c>
      <c r="E37" s="14">
        <v>25.87</v>
      </c>
      <c r="F37" s="14">
        <v>233.97</v>
      </c>
      <c r="H37" s="88" t="s">
        <v>80</v>
      </c>
      <c r="I37" s="26">
        <f t="shared" si="5"/>
        <v>0.31696371329657647</v>
      </c>
      <c r="J37" s="26">
        <f t="shared" si="6"/>
        <v>0.25127153053810319</v>
      </c>
      <c r="K37" s="26">
        <f t="shared" si="7"/>
        <v>0.32119502500320557</v>
      </c>
      <c r="L37" s="26">
        <f t="shared" si="10"/>
        <v>0.11056973116211481</v>
      </c>
      <c r="M37" s="26">
        <f t="shared" si="8"/>
        <v>1</v>
      </c>
      <c r="N37" s="26">
        <f t="shared" si="9"/>
        <v>4.1880009291286603E-4</v>
      </c>
      <c r="O37" s="91"/>
      <c r="P37" s="88" t="s">
        <v>80</v>
      </c>
      <c r="Q37" s="26">
        <f t="shared" si="11"/>
        <v>0.52283687943262414</v>
      </c>
      <c r="R37" s="26">
        <f t="shared" si="12"/>
        <v>0.1075177304964539</v>
      </c>
      <c r="S37" s="26">
        <f t="shared" si="13"/>
        <v>0.36964539007092195</v>
      </c>
      <c r="T37" s="26">
        <f t="shared" si="14"/>
        <v>0</v>
      </c>
      <c r="U37" s="26">
        <f t="shared" si="15"/>
        <v>1</v>
      </c>
    </row>
    <row r="38" spans="1:21" x14ac:dyDescent="0.25">
      <c r="A38" s="88" t="s">
        <v>56</v>
      </c>
      <c r="B38" s="14">
        <v>21504.695</v>
      </c>
      <c r="C38" s="14">
        <v>32326.58</v>
      </c>
      <c r="D38" s="14">
        <v>11516.67</v>
      </c>
      <c r="E38" s="14">
        <v>10739.41</v>
      </c>
      <c r="F38" s="14">
        <v>76087.354999999996</v>
      </c>
      <c r="H38" s="88" t="s">
        <v>56</v>
      </c>
      <c r="I38" s="26">
        <f t="shared" si="5"/>
        <v>0.28263165410336583</v>
      </c>
      <c r="J38" s="26">
        <f t="shared" si="6"/>
        <v>0.42486139779730814</v>
      </c>
      <c r="K38" s="26">
        <f t="shared" si="7"/>
        <v>0.15136115587143226</v>
      </c>
      <c r="L38" s="26">
        <f t="shared" si="10"/>
        <v>0.14114579222789386</v>
      </c>
      <c r="M38" s="26">
        <f t="shared" si="8"/>
        <v>1</v>
      </c>
      <c r="N38" s="26">
        <f t="shared" si="9"/>
        <v>0.13619434689701337</v>
      </c>
      <c r="O38" s="91"/>
      <c r="P38" s="88" t="s">
        <v>56</v>
      </c>
      <c r="Q38" s="26">
        <f t="shared" si="11"/>
        <v>0.58245622527992447</v>
      </c>
      <c r="R38" s="26">
        <f t="shared" si="12"/>
        <v>0.29977315584170983</v>
      </c>
      <c r="S38" s="26">
        <f t="shared" si="13"/>
        <v>8.1176019418283535E-2</v>
      </c>
      <c r="T38" s="26">
        <f t="shared" si="14"/>
        <v>3.6594599460082158E-2</v>
      </c>
      <c r="U38" s="26">
        <f t="shared" si="15"/>
        <v>1</v>
      </c>
    </row>
    <row r="39" spans="1:21" x14ac:dyDescent="0.25">
      <c r="A39" s="88" t="s">
        <v>57</v>
      </c>
      <c r="B39" s="14">
        <v>1325.97</v>
      </c>
      <c r="C39" s="14">
        <v>806.98</v>
      </c>
      <c r="D39" s="14">
        <v>324.52</v>
      </c>
      <c r="E39" s="14">
        <v>375.29</v>
      </c>
      <c r="F39" s="14">
        <v>2832.7599999999998</v>
      </c>
      <c r="H39" s="88" t="s">
        <v>57</v>
      </c>
      <c r="I39" s="26">
        <f t="shared" si="5"/>
        <v>0.46808412996512239</v>
      </c>
      <c r="J39" s="26">
        <f t="shared" si="6"/>
        <v>0.28487411570341298</v>
      </c>
      <c r="K39" s="26">
        <f t="shared" si="7"/>
        <v>0.11455965207077197</v>
      </c>
      <c r="L39" s="26">
        <f t="shared" si="10"/>
        <v>0.13248210226069276</v>
      </c>
      <c r="M39" s="26">
        <f t="shared" si="8"/>
        <v>1</v>
      </c>
      <c r="N39" s="26">
        <f t="shared" si="9"/>
        <v>5.0705652485354977E-3</v>
      </c>
      <c r="O39" s="91"/>
      <c r="P39" s="88" t="s">
        <v>57</v>
      </c>
      <c r="Q39" s="26">
        <f t="shared" si="11"/>
        <v>0.63522450400278452</v>
      </c>
      <c r="R39" s="26">
        <f t="shared" si="12"/>
        <v>0.2855061814337832</v>
      </c>
      <c r="S39" s="26">
        <f t="shared" si="13"/>
        <v>5.6999394103466501E-2</v>
      </c>
      <c r="T39" s="26">
        <f t="shared" si="14"/>
        <v>2.2269920459965706E-2</v>
      </c>
      <c r="U39" s="26">
        <f t="shared" si="15"/>
        <v>1</v>
      </c>
    </row>
    <row r="40" spans="1:21" x14ac:dyDescent="0.25">
      <c r="A40" s="88" t="s">
        <v>86</v>
      </c>
      <c r="B40" s="14">
        <v>0</v>
      </c>
      <c r="C40" s="14">
        <v>0.11</v>
      </c>
      <c r="D40" s="14">
        <v>0.83</v>
      </c>
      <c r="E40" s="14">
        <v>7.64</v>
      </c>
      <c r="F40" s="14">
        <v>8.58</v>
      </c>
      <c r="H40" s="88" t="s">
        <v>86</v>
      </c>
      <c r="I40" s="26">
        <f t="shared" si="5"/>
        <v>0</v>
      </c>
      <c r="J40" s="26">
        <f t="shared" si="6"/>
        <v>1.282051282051282E-2</v>
      </c>
      <c r="K40" s="26">
        <f t="shared" si="7"/>
        <v>9.6736596736596736E-2</v>
      </c>
      <c r="L40" s="26">
        <f t="shared" si="10"/>
        <v>0.89044289044289038</v>
      </c>
      <c r="M40" s="26">
        <f t="shared" si="8"/>
        <v>1</v>
      </c>
      <c r="N40" s="26">
        <f t="shared" si="9"/>
        <v>1.5357972377622732E-5</v>
      </c>
      <c r="O40" s="91"/>
      <c r="P40" s="88" t="s">
        <v>86</v>
      </c>
      <c r="Q40" s="26"/>
      <c r="R40" s="26"/>
      <c r="S40" s="26"/>
      <c r="T40" s="26"/>
      <c r="U40" s="26"/>
    </row>
    <row r="41" spans="1:21" x14ac:dyDescent="0.25">
      <c r="A41" s="16" t="s">
        <v>59</v>
      </c>
      <c r="B41" s="17">
        <v>199089.06600000101</v>
      </c>
      <c r="C41" s="17">
        <v>183279.23100000099</v>
      </c>
      <c r="D41" s="17">
        <v>79678.943000000305</v>
      </c>
      <c r="E41" s="17">
        <v>96620.257833334806</v>
      </c>
      <c r="F41" s="17">
        <v>558667.49783333717</v>
      </c>
      <c r="H41" s="16" t="s">
        <v>59</v>
      </c>
      <c r="I41" s="25">
        <f t="shared" si="5"/>
        <v>0.35636414642362757</v>
      </c>
      <c r="J41" s="25">
        <f t="shared" si="6"/>
        <v>0.32806496119929501</v>
      </c>
      <c r="K41" s="25">
        <f t="shared" si="7"/>
        <v>0.14262319413428681</v>
      </c>
      <c r="L41" s="25">
        <f t="shared" si="10"/>
        <v>0.17294769824279049</v>
      </c>
      <c r="M41" s="25">
        <f t="shared" si="8"/>
        <v>1</v>
      </c>
      <c r="P41" s="60" t="s">
        <v>59</v>
      </c>
      <c r="Q41" s="62">
        <f t="shared" si="11"/>
        <v>0.62773851542253878</v>
      </c>
      <c r="R41" s="62">
        <f t="shared" si="12"/>
        <v>0.27952613376257573</v>
      </c>
      <c r="S41" s="62">
        <f t="shared" si="13"/>
        <v>6.3413548792337904E-2</v>
      </c>
      <c r="T41" s="62">
        <f t="shared" si="14"/>
        <v>2.9321802022547572E-2</v>
      </c>
      <c r="U41" s="62">
        <f t="shared" si="15"/>
        <v>1</v>
      </c>
    </row>
    <row r="44" spans="1:21" x14ac:dyDescent="0.25">
      <c r="A44" s="136"/>
      <c r="B44" s="90" t="s">
        <v>99</v>
      </c>
      <c r="C44" s="90" t="s">
        <v>100</v>
      </c>
      <c r="D44" s="90" t="s">
        <v>101</v>
      </c>
      <c r="E44" s="90" t="s">
        <v>102</v>
      </c>
    </row>
    <row r="45" spans="1:21" x14ac:dyDescent="0.25">
      <c r="A45" s="136" t="s">
        <v>142</v>
      </c>
      <c r="B45" s="26">
        <v>0.35636414642362757</v>
      </c>
      <c r="C45" s="26">
        <v>0.32806496119929501</v>
      </c>
      <c r="D45" s="26">
        <v>0.14262319413428681</v>
      </c>
      <c r="E45" s="26">
        <v>0.17294769824279049</v>
      </c>
    </row>
    <row r="46" spans="1:21" x14ac:dyDescent="0.25">
      <c r="A46" s="136" t="s">
        <v>146</v>
      </c>
      <c r="B46" s="26">
        <v>0.70009413174137403</v>
      </c>
      <c r="C46" s="26">
        <v>0.23285851506186891</v>
      </c>
      <c r="D46" s="26">
        <v>4.9763222226750878E-2</v>
      </c>
      <c r="E46" s="26">
        <v>1.7284130970006233E-2</v>
      </c>
    </row>
    <row r="47" spans="1:21" x14ac:dyDescent="0.25">
      <c r="A47" s="136" t="s">
        <v>145</v>
      </c>
      <c r="B47" s="26">
        <v>0.47544180509509321</v>
      </c>
      <c r="C47" s="26">
        <v>0.22522910630805176</v>
      </c>
      <c r="D47" s="26">
        <v>0.1146125828421256</v>
      </c>
      <c r="E47" s="26">
        <v>0.18471650575472953</v>
      </c>
    </row>
    <row r="48" spans="1:21" x14ac:dyDescent="0.25">
      <c r="A48" s="136" t="s">
        <v>144</v>
      </c>
      <c r="B48" s="26">
        <v>0.27971481015096289</v>
      </c>
      <c r="C48" s="26">
        <v>0.34588657093862574</v>
      </c>
      <c r="D48" s="26">
        <v>0.1750800659870354</v>
      </c>
      <c r="E48" s="26">
        <v>0.199318552923376</v>
      </c>
    </row>
    <row r="49" spans="1:5" x14ac:dyDescent="0.25">
      <c r="A49" s="136" t="s">
        <v>85</v>
      </c>
      <c r="B49" s="26">
        <v>1.9450278513377793E-2</v>
      </c>
      <c r="C49" s="26">
        <v>6.3736322763970038E-2</v>
      </c>
      <c r="D49" s="26">
        <v>9.2708159877959134E-2</v>
      </c>
      <c r="E49" s="26">
        <v>0.824105238844693</v>
      </c>
    </row>
    <row r="50" spans="1:5" x14ac:dyDescent="0.25">
      <c r="A50" s="136" t="s">
        <v>143</v>
      </c>
      <c r="B50" s="26">
        <v>0.63222389020726588</v>
      </c>
      <c r="C50" s="26">
        <v>0.23248210822107324</v>
      </c>
      <c r="D50" s="26">
        <v>7.0433114343276634E-2</v>
      </c>
      <c r="E50" s="26">
        <v>6.4860887228384262E-2</v>
      </c>
    </row>
  </sheetData>
  <mergeCells count="3">
    <mergeCell ref="A2:B2"/>
    <mergeCell ref="P2:Q2"/>
    <mergeCell ref="A23:B23"/>
  </mergeCells>
  <conditionalFormatting sqref="I4:L19">
    <cfRule type="colorScale" priority="2">
      <colorScale>
        <cfvo type="percentile" val="25"/>
        <cfvo type="percentile" val="50"/>
        <cfvo type="percentile" val="75"/>
        <color theme="5" tint="0.79998168889431442"/>
        <color theme="5" tint="0.59999389629810485"/>
        <color theme="5" tint="0.39997558519241921"/>
      </colorScale>
    </cfRule>
  </conditionalFormatting>
  <conditionalFormatting sqref="Q25:T40">
    <cfRule type="colorScale" priority="1">
      <colorScale>
        <cfvo type="percentile" val="25"/>
        <cfvo type="percentile" val="50"/>
        <cfvo type="percentile" val="75"/>
        <color theme="9" tint="0.79998168889431442"/>
        <color theme="9" tint="0.59999389629810485"/>
        <color theme="9" tint="0.39997558519241921"/>
      </colorScale>
    </cfRule>
  </conditionalFormatting>
  <hyperlinks>
    <hyperlink ref="E1" location="INDICE!A1" display="I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topLeftCell="A22" workbookViewId="0">
      <selection activeCell="E1" sqref="E1"/>
    </sheetView>
  </sheetViews>
  <sheetFormatPr baseColWidth="10" defaultRowHeight="15" x14ac:dyDescent="0.25"/>
  <cols>
    <col min="1" max="1" width="16.140625" customWidth="1"/>
    <col min="9" max="9" width="14.85546875" bestFit="1" customWidth="1"/>
    <col min="17" max="17" width="23.42578125" bestFit="1" customWidth="1"/>
  </cols>
  <sheetData>
    <row r="1" spans="1:22" x14ac:dyDescent="0.25">
      <c r="D1" s="2" t="s">
        <v>0</v>
      </c>
      <c r="E1" s="176" t="s">
        <v>1</v>
      </c>
      <c r="F1" s="2" t="s">
        <v>216</v>
      </c>
      <c r="G1" t="s">
        <v>225</v>
      </c>
    </row>
    <row r="2" spans="1:22" ht="18.75" x14ac:dyDescent="0.3">
      <c r="A2" s="307" t="s">
        <v>8</v>
      </c>
      <c r="B2" s="307"/>
      <c r="I2" s="307" t="s">
        <v>8</v>
      </c>
      <c r="J2" s="307"/>
      <c r="Q2" s="260" t="s">
        <v>97</v>
      </c>
      <c r="R2" s="260"/>
    </row>
    <row r="3" spans="1:22" x14ac:dyDescent="0.25">
      <c r="A3" s="87" t="s">
        <v>94</v>
      </c>
      <c r="B3" s="87" t="s">
        <v>99</v>
      </c>
      <c r="C3" s="87" t="s">
        <v>100</v>
      </c>
      <c r="D3" s="87" t="s">
        <v>101</v>
      </c>
      <c r="E3" s="87" t="s">
        <v>102</v>
      </c>
      <c r="F3" s="87" t="s">
        <v>103</v>
      </c>
      <c r="I3" s="87" t="s">
        <v>94</v>
      </c>
      <c r="J3" s="87" t="s">
        <v>99</v>
      </c>
      <c r="K3" s="87" t="s">
        <v>100</v>
      </c>
      <c r="L3" s="87" t="s">
        <v>101</v>
      </c>
      <c r="M3" s="87" t="s">
        <v>102</v>
      </c>
      <c r="N3" s="87" t="s">
        <v>103</v>
      </c>
      <c r="Q3" s="89" t="s">
        <v>94</v>
      </c>
      <c r="R3" s="89" t="s">
        <v>99</v>
      </c>
      <c r="S3" s="89" t="s">
        <v>100</v>
      </c>
      <c r="T3" s="89" t="s">
        <v>101</v>
      </c>
      <c r="U3" s="89" t="s">
        <v>102</v>
      </c>
      <c r="V3" s="89" t="s">
        <v>103</v>
      </c>
    </row>
    <row r="4" spans="1:22" x14ac:dyDescent="0.25">
      <c r="A4" s="88" t="s">
        <v>49</v>
      </c>
      <c r="B4" s="14">
        <v>881.65</v>
      </c>
      <c r="C4" s="14">
        <v>849.38</v>
      </c>
      <c r="D4" s="14">
        <v>374.42</v>
      </c>
      <c r="E4" s="14">
        <v>331.81</v>
      </c>
      <c r="F4" s="14">
        <v>2437.2599999999998</v>
      </c>
      <c r="I4" s="88" t="s">
        <v>49</v>
      </c>
      <c r="J4" s="134">
        <f>IFERROR(B4/F4,"")</f>
        <v>0.36173818140042507</v>
      </c>
      <c r="K4" s="134">
        <f>IFERROR(C4/F4,"")</f>
        <v>0.34849790338330749</v>
      </c>
      <c r="L4" s="134">
        <f>IFERROR(D4/F4,"")</f>
        <v>0.15362333111773058</v>
      </c>
      <c r="M4" s="134">
        <f>IFERROR(E4/F4,"")</f>
        <v>0.13614058409853688</v>
      </c>
      <c r="N4" s="134">
        <f>IFERROR(F4/F4,"")</f>
        <v>1</v>
      </c>
      <c r="Q4" s="88" t="s">
        <v>49</v>
      </c>
      <c r="R4" s="14">
        <v>482.04</v>
      </c>
      <c r="S4" s="14">
        <v>310.33999999999997</v>
      </c>
      <c r="T4" s="14">
        <v>54.73</v>
      </c>
      <c r="U4" s="14">
        <v>23.52</v>
      </c>
      <c r="V4" s="14">
        <v>870.63</v>
      </c>
    </row>
    <row r="5" spans="1:22" x14ac:dyDescent="0.25">
      <c r="A5" s="88" t="s">
        <v>50</v>
      </c>
      <c r="B5" s="14">
        <v>125.86</v>
      </c>
      <c r="C5" s="14">
        <v>122.82</v>
      </c>
      <c r="D5" s="14">
        <v>36.47</v>
      </c>
      <c r="E5" s="14">
        <v>17.690000000000001</v>
      </c>
      <c r="F5" s="14">
        <v>302.83999999999997</v>
      </c>
      <c r="I5" s="88" t="s">
        <v>50</v>
      </c>
      <c r="J5" s="134">
        <f t="shared" ref="J5:J20" si="0">IFERROR(B5/F5,"")</f>
        <v>0.41559899616959456</v>
      </c>
      <c r="K5" s="134">
        <f t="shared" ref="K5:K20" si="1">IFERROR(C5/F5,"")</f>
        <v>0.40556069211464801</v>
      </c>
      <c r="L5" s="134">
        <f t="shared" ref="L5:L20" si="2">IFERROR(D5/F5,"")</f>
        <v>0.12042662792233523</v>
      </c>
      <c r="M5" s="134">
        <f t="shared" ref="M5:M20" si="3">IFERROR(E5/F5,"")</f>
        <v>5.841368379342228E-2</v>
      </c>
      <c r="N5" s="134">
        <f t="shared" ref="N5:N20" si="4">IFERROR(F5/F5,"")</f>
        <v>1</v>
      </c>
      <c r="Q5" s="88" t="s">
        <v>50</v>
      </c>
      <c r="R5" s="14">
        <v>201.04</v>
      </c>
      <c r="S5" s="14">
        <v>70.959999999999994</v>
      </c>
      <c r="T5" s="14">
        <v>40.26</v>
      </c>
      <c r="U5" s="14">
        <v>4.8</v>
      </c>
      <c r="V5" s="14">
        <v>317.06</v>
      </c>
    </row>
    <row r="6" spans="1:22" x14ac:dyDescent="0.25">
      <c r="A6" s="88" t="s">
        <v>63</v>
      </c>
      <c r="B6" s="14">
        <v>0</v>
      </c>
      <c r="C6" s="14">
        <v>0</v>
      </c>
      <c r="D6" s="14">
        <v>0</v>
      </c>
      <c r="E6" s="14">
        <v>0</v>
      </c>
      <c r="F6" s="14">
        <v>0</v>
      </c>
      <c r="I6" s="88" t="s">
        <v>63</v>
      </c>
      <c r="J6" s="134" t="str">
        <f t="shared" si="0"/>
        <v/>
      </c>
      <c r="K6" s="134" t="str">
        <f t="shared" si="1"/>
        <v/>
      </c>
      <c r="L6" s="134" t="str">
        <f t="shared" si="2"/>
        <v/>
      </c>
      <c r="M6" s="134" t="str">
        <f t="shared" si="3"/>
        <v/>
      </c>
      <c r="N6" s="134" t="str">
        <f t="shared" si="4"/>
        <v/>
      </c>
      <c r="Q6" s="88" t="s">
        <v>63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</row>
    <row r="7" spans="1:22" x14ac:dyDescent="0.25">
      <c r="A7" s="88" t="s">
        <v>60</v>
      </c>
      <c r="B7" s="14">
        <v>90.68</v>
      </c>
      <c r="C7" s="14">
        <v>75.73</v>
      </c>
      <c r="D7" s="14">
        <v>11.06</v>
      </c>
      <c r="E7" s="14">
        <v>2.85</v>
      </c>
      <c r="F7" s="14">
        <v>180.32000000000002</v>
      </c>
      <c r="I7" s="88" t="s">
        <v>60</v>
      </c>
      <c r="J7" s="134">
        <f t="shared" si="0"/>
        <v>0.50288376220053232</v>
      </c>
      <c r="K7" s="134">
        <f t="shared" si="1"/>
        <v>0.41997559893522624</v>
      </c>
      <c r="L7" s="134">
        <f t="shared" si="2"/>
        <v>6.1335403726708072E-2</v>
      </c>
      <c r="M7" s="134">
        <f t="shared" si="3"/>
        <v>1.5805235137533274E-2</v>
      </c>
      <c r="N7" s="134">
        <f t="shared" si="4"/>
        <v>1</v>
      </c>
      <c r="Q7" s="88" t="s">
        <v>60</v>
      </c>
      <c r="R7" s="14">
        <v>23.17</v>
      </c>
      <c r="S7" s="14">
        <v>15.31</v>
      </c>
      <c r="T7" s="14">
        <v>0</v>
      </c>
      <c r="U7" s="14">
        <v>0.01</v>
      </c>
      <c r="V7" s="14">
        <v>38.49</v>
      </c>
    </row>
    <row r="8" spans="1:22" x14ac:dyDescent="0.25">
      <c r="A8" s="88" t="s">
        <v>53</v>
      </c>
      <c r="B8" s="14">
        <v>858.69</v>
      </c>
      <c r="C8" s="14">
        <v>317.92</v>
      </c>
      <c r="D8" s="14">
        <v>124.19</v>
      </c>
      <c r="E8" s="14">
        <v>22</v>
      </c>
      <c r="F8" s="14">
        <v>1322.8000000000002</v>
      </c>
      <c r="I8" s="88" t="s">
        <v>53</v>
      </c>
      <c r="J8" s="134">
        <f t="shared" si="0"/>
        <v>0.64914575143634712</v>
      </c>
      <c r="K8" s="134">
        <f t="shared" si="1"/>
        <v>0.24033867553674024</v>
      </c>
      <c r="L8" s="134">
        <f t="shared" si="2"/>
        <v>9.38841850619897E-2</v>
      </c>
      <c r="M8" s="134">
        <f t="shared" si="3"/>
        <v>1.6631387964922889E-2</v>
      </c>
      <c r="N8" s="134">
        <f t="shared" si="4"/>
        <v>1</v>
      </c>
      <c r="Q8" s="88" t="s">
        <v>53</v>
      </c>
      <c r="R8" s="14">
        <v>335.495</v>
      </c>
      <c r="S8" s="14">
        <v>58.79</v>
      </c>
      <c r="T8" s="14">
        <v>8.8699999999999992</v>
      </c>
      <c r="U8" s="14">
        <v>0</v>
      </c>
      <c r="V8" s="14">
        <v>403.15500000000003</v>
      </c>
    </row>
    <row r="9" spans="1:22" x14ac:dyDescent="0.25">
      <c r="A9" s="88" t="s">
        <v>52</v>
      </c>
      <c r="B9" s="14">
        <v>17821.16</v>
      </c>
      <c r="C9" s="14">
        <v>4966.027</v>
      </c>
      <c r="D9" s="14">
        <v>828.42</v>
      </c>
      <c r="E9" s="14">
        <v>160.13999999999999</v>
      </c>
      <c r="F9" s="14">
        <v>23775.746999999996</v>
      </c>
      <c r="I9" s="88" t="s">
        <v>52</v>
      </c>
      <c r="J9" s="134">
        <f t="shared" si="0"/>
        <v>0.7495520540322036</v>
      </c>
      <c r="K9" s="134">
        <f t="shared" si="1"/>
        <v>0.20886944162048834</v>
      </c>
      <c r="L9" s="134">
        <f t="shared" si="2"/>
        <v>3.4843069284006094E-2</v>
      </c>
      <c r="M9" s="134">
        <f t="shared" si="3"/>
        <v>6.7354350633021124E-3</v>
      </c>
      <c r="N9" s="134">
        <f t="shared" si="4"/>
        <v>1</v>
      </c>
      <c r="Q9" s="88" t="s">
        <v>52</v>
      </c>
      <c r="R9" s="14">
        <v>5005.62</v>
      </c>
      <c r="S9" s="14">
        <v>1028.47</v>
      </c>
      <c r="T9" s="14">
        <v>116.75</v>
      </c>
      <c r="U9" s="14">
        <v>22.24</v>
      </c>
      <c r="V9" s="14">
        <v>6173.08</v>
      </c>
    </row>
    <row r="10" spans="1:22" x14ac:dyDescent="0.25">
      <c r="A10" s="88" t="s">
        <v>65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I10" s="88" t="s">
        <v>65</v>
      </c>
      <c r="J10" s="134" t="str">
        <f t="shared" si="0"/>
        <v/>
      </c>
      <c r="K10" s="134" t="str">
        <f t="shared" si="1"/>
        <v/>
      </c>
      <c r="L10" s="134" t="str">
        <f t="shared" si="2"/>
        <v/>
      </c>
      <c r="M10" s="134" t="str">
        <f t="shared" si="3"/>
        <v/>
      </c>
      <c r="N10" s="134" t="str">
        <f t="shared" si="4"/>
        <v/>
      </c>
      <c r="Q10" s="88" t="s">
        <v>65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</row>
    <row r="11" spans="1:22" x14ac:dyDescent="0.25">
      <c r="A11" s="88" t="s">
        <v>51</v>
      </c>
      <c r="B11" s="14">
        <v>42.04</v>
      </c>
      <c r="C11" s="14">
        <v>139.91999999999999</v>
      </c>
      <c r="D11" s="14">
        <v>16.579999999999998</v>
      </c>
      <c r="E11" s="14">
        <v>11.4</v>
      </c>
      <c r="F11" s="14">
        <v>209.93999999999997</v>
      </c>
      <c r="I11" s="88" t="s">
        <v>51</v>
      </c>
      <c r="J11" s="134">
        <f t="shared" si="0"/>
        <v>0.20024768981613797</v>
      </c>
      <c r="K11" s="134">
        <f t="shared" si="1"/>
        <v>0.66647613603886824</v>
      </c>
      <c r="L11" s="134">
        <f t="shared" si="2"/>
        <v>7.8974945222444512E-2</v>
      </c>
      <c r="M11" s="134">
        <f t="shared" si="3"/>
        <v>5.4301228922549308E-2</v>
      </c>
      <c r="N11" s="134">
        <f t="shared" si="4"/>
        <v>1</v>
      </c>
      <c r="Q11" s="88" t="s">
        <v>51</v>
      </c>
      <c r="R11" s="14">
        <v>59.37</v>
      </c>
      <c r="S11" s="14">
        <v>122.32</v>
      </c>
      <c r="T11" s="14">
        <v>66.319999999999993</v>
      </c>
      <c r="U11" s="14">
        <v>10.1</v>
      </c>
      <c r="V11" s="14">
        <v>258.11</v>
      </c>
    </row>
    <row r="12" spans="1:22" x14ac:dyDescent="0.25">
      <c r="A12" s="88" t="s">
        <v>54</v>
      </c>
      <c r="B12" s="14">
        <v>458.98</v>
      </c>
      <c r="C12" s="14">
        <v>331.6</v>
      </c>
      <c r="D12" s="14">
        <v>81.290000000000006</v>
      </c>
      <c r="E12" s="14">
        <v>40.479999999999997</v>
      </c>
      <c r="F12" s="14">
        <v>912.35</v>
      </c>
      <c r="I12" s="88" t="s">
        <v>54</v>
      </c>
      <c r="J12" s="134">
        <f t="shared" si="0"/>
        <v>0.50307447799638294</v>
      </c>
      <c r="K12" s="134">
        <f t="shared" si="1"/>
        <v>0.36345700663122704</v>
      </c>
      <c r="L12" s="134">
        <f t="shared" si="2"/>
        <v>8.9099578012824032E-2</v>
      </c>
      <c r="M12" s="134">
        <f t="shared" si="3"/>
        <v>4.4368937359565951E-2</v>
      </c>
      <c r="N12" s="134">
        <f t="shared" si="4"/>
        <v>1</v>
      </c>
      <c r="Q12" s="88" t="s">
        <v>54</v>
      </c>
      <c r="R12" s="14">
        <v>157.94</v>
      </c>
      <c r="S12" s="14">
        <v>165.65</v>
      </c>
      <c r="T12" s="14">
        <v>44.57</v>
      </c>
      <c r="U12" s="14">
        <v>3.22</v>
      </c>
      <c r="V12" s="14">
        <v>371.38000000000005</v>
      </c>
    </row>
    <row r="13" spans="1:22" x14ac:dyDescent="0.25">
      <c r="A13" s="88" t="s">
        <v>67</v>
      </c>
      <c r="B13" s="14">
        <v>0</v>
      </c>
      <c r="C13" s="14">
        <v>0.09</v>
      </c>
      <c r="D13" s="14">
        <v>0</v>
      </c>
      <c r="E13" s="14">
        <v>0.21</v>
      </c>
      <c r="F13" s="14">
        <v>0.3</v>
      </c>
      <c r="I13" s="88" t="s">
        <v>67</v>
      </c>
      <c r="J13" s="134">
        <f t="shared" si="0"/>
        <v>0</v>
      </c>
      <c r="K13" s="134">
        <f t="shared" si="1"/>
        <v>0.3</v>
      </c>
      <c r="L13" s="134">
        <f t="shared" si="2"/>
        <v>0</v>
      </c>
      <c r="M13" s="134">
        <f t="shared" si="3"/>
        <v>0.7</v>
      </c>
      <c r="N13" s="134">
        <f t="shared" si="4"/>
        <v>1</v>
      </c>
      <c r="Q13" s="88" t="s">
        <v>67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</row>
    <row r="14" spans="1:22" x14ac:dyDescent="0.25">
      <c r="A14" s="88" t="s">
        <v>75</v>
      </c>
      <c r="B14" s="14">
        <v>0.81</v>
      </c>
      <c r="C14" s="14">
        <v>0</v>
      </c>
      <c r="D14" s="14">
        <v>0.15</v>
      </c>
      <c r="E14" s="14">
        <v>0</v>
      </c>
      <c r="F14" s="14">
        <v>0.96000000000000008</v>
      </c>
      <c r="I14" s="88" t="s">
        <v>75</v>
      </c>
      <c r="J14" s="134">
        <f t="shared" si="0"/>
        <v>0.84375</v>
      </c>
      <c r="K14" s="134">
        <f t="shared" si="1"/>
        <v>0</v>
      </c>
      <c r="L14" s="134">
        <f t="shared" si="2"/>
        <v>0.15624999999999997</v>
      </c>
      <c r="M14" s="134">
        <f t="shared" si="3"/>
        <v>0</v>
      </c>
      <c r="N14" s="134">
        <f t="shared" si="4"/>
        <v>1</v>
      </c>
      <c r="Q14" s="88" t="s">
        <v>75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</row>
    <row r="15" spans="1:22" x14ac:dyDescent="0.25">
      <c r="A15" s="88" t="s">
        <v>55</v>
      </c>
      <c r="B15" s="14">
        <v>9.5619999999999994</v>
      </c>
      <c r="C15" s="14">
        <v>10.853999999999999</v>
      </c>
      <c r="D15" s="14">
        <v>4.8600000000000003</v>
      </c>
      <c r="E15" s="14">
        <v>4.34</v>
      </c>
      <c r="F15" s="14">
        <v>29.615999999999996</v>
      </c>
      <c r="I15" s="88" t="s">
        <v>55</v>
      </c>
      <c r="J15" s="134">
        <f t="shared" si="0"/>
        <v>0.32286601836844953</v>
      </c>
      <c r="K15" s="134">
        <f t="shared" si="1"/>
        <v>0.36649108589951379</v>
      </c>
      <c r="L15" s="134">
        <f t="shared" si="2"/>
        <v>0.16410048622366291</v>
      </c>
      <c r="M15" s="134">
        <f t="shared" si="3"/>
        <v>0.14654240950837386</v>
      </c>
      <c r="N15" s="134">
        <f t="shared" si="4"/>
        <v>1</v>
      </c>
      <c r="Q15" s="88" t="s">
        <v>55</v>
      </c>
      <c r="R15" s="14">
        <v>6.45</v>
      </c>
      <c r="S15" s="14">
        <v>4.46</v>
      </c>
      <c r="T15" s="14">
        <v>0.88100000000000001</v>
      </c>
      <c r="U15" s="14">
        <v>0</v>
      </c>
      <c r="V15" s="14">
        <v>11.791</v>
      </c>
    </row>
    <row r="16" spans="1:22" x14ac:dyDescent="0.25">
      <c r="A16" s="88" t="s">
        <v>80</v>
      </c>
      <c r="B16" s="14">
        <v>43.612000000000002</v>
      </c>
      <c r="C16" s="14">
        <v>126.41</v>
      </c>
      <c r="D16" s="14">
        <v>54.5</v>
      </c>
      <c r="E16" s="14">
        <v>2.09</v>
      </c>
      <c r="F16" s="14">
        <v>226.61199999999999</v>
      </c>
      <c r="I16" s="88" t="s">
        <v>80</v>
      </c>
      <c r="J16" s="134">
        <f t="shared" si="0"/>
        <v>0.19245229731876512</v>
      </c>
      <c r="K16" s="134">
        <f t="shared" si="1"/>
        <v>0.55782571090674815</v>
      </c>
      <c r="L16" s="134">
        <f t="shared" si="2"/>
        <v>0.24049917921381039</v>
      </c>
      <c r="M16" s="134">
        <f t="shared" si="3"/>
        <v>9.222812560676398E-3</v>
      </c>
      <c r="N16" s="134">
        <f t="shared" si="4"/>
        <v>1</v>
      </c>
      <c r="Q16" s="88" t="s">
        <v>80</v>
      </c>
      <c r="R16" s="14">
        <v>80.292000000000002</v>
      </c>
      <c r="S16" s="14">
        <v>14.55</v>
      </c>
      <c r="T16" s="14">
        <v>0.85</v>
      </c>
      <c r="U16" s="14">
        <v>0</v>
      </c>
      <c r="V16" s="14">
        <v>95.691999999999993</v>
      </c>
    </row>
    <row r="17" spans="1:22" x14ac:dyDescent="0.25">
      <c r="A17" s="88" t="s">
        <v>56</v>
      </c>
      <c r="B17" s="14">
        <v>157.13</v>
      </c>
      <c r="C17" s="14">
        <v>169</v>
      </c>
      <c r="D17" s="14">
        <v>35.89</v>
      </c>
      <c r="E17" s="14">
        <v>9.77</v>
      </c>
      <c r="F17" s="14">
        <v>371.78999999999996</v>
      </c>
      <c r="I17" s="88" t="s">
        <v>56</v>
      </c>
      <c r="J17" s="134">
        <f t="shared" si="0"/>
        <v>0.4226310551655505</v>
      </c>
      <c r="K17" s="134">
        <f t="shared" si="1"/>
        <v>0.45455768041098477</v>
      </c>
      <c r="L17" s="134">
        <f t="shared" si="2"/>
        <v>9.6532989052960011E-2</v>
      </c>
      <c r="M17" s="134">
        <f t="shared" si="3"/>
        <v>2.6278275370504856E-2</v>
      </c>
      <c r="N17" s="134">
        <f t="shared" si="4"/>
        <v>1</v>
      </c>
      <c r="Q17" s="88" t="s">
        <v>56</v>
      </c>
      <c r="R17" s="14">
        <v>157.24</v>
      </c>
      <c r="S17" s="14">
        <v>82.16</v>
      </c>
      <c r="T17" s="14">
        <v>19.489999999999998</v>
      </c>
      <c r="U17" s="14">
        <v>0.39</v>
      </c>
      <c r="V17" s="14">
        <v>259.27999999999997</v>
      </c>
    </row>
    <row r="18" spans="1:22" x14ac:dyDescent="0.25">
      <c r="A18" s="88" t="s">
        <v>57</v>
      </c>
      <c r="B18" s="14">
        <v>2.37</v>
      </c>
      <c r="C18" s="14">
        <v>0</v>
      </c>
      <c r="D18" s="14">
        <v>0</v>
      </c>
      <c r="E18" s="14">
        <v>0</v>
      </c>
      <c r="F18" s="14">
        <v>2.37</v>
      </c>
      <c r="I18" s="88" t="s">
        <v>57</v>
      </c>
      <c r="J18" s="134">
        <f t="shared" si="0"/>
        <v>1</v>
      </c>
      <c r="K18" s="134">
        <f t="shared" si="1"/>
        <v>0</v>
      </c>
      <c r="L18" s="134">
        <f t="shared" si="2"/>
        <v>0</v>
      </c>
      <c r="M18" s="134">
        <f t="shared" si="3"/>
        <v>0</v>
      </c>
      <c r="N18" s="134">
        <f t="shared" si="4"/>
        <v>1</v>
      </c>
      <c r="Q18" s="88" t="s">
        <v>57</v>
      </c>
      <c r="R18" s="14">
        <v>18.079999999999998</v>
      </c>
      <c r="S18" s="14">
        <v>4.13</v>
      </c>
      <c r="T18" s="14">
        <v>0</v>
      </c>
      <c r="U18" s="14">
        <v>0</v>
      </c>
      <c r="V18" s="14">
        <v>22.209999999999997</v>
      </c>
    </row>
    <row r="19" spans="1:22" x14ac:dyDescent="0.25">
      <c r="A19" s="88" t="s">
        <v>86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I19" s="88" t="s">
        <v>86</v>
      </c>
      <c r="J19" s="134" t="str">
        <f t="shared" si="0"/>
        <v/>
      </c>
      <c r="K19" s="134" t="str">
        <f t="shared" si="1"/>
        <v/>
      </c>
      <c r="L19" s="134" t="str">
        <f t="shared" si="2"/>
        <v/>
      </c>
      <c r="M19" s="134" t="str">
        <f t="shared" si="3"/>
        <v/>
      </c>
      <c r="N19" s="134" t="str">
        <f t="shared" si="4"/>
        <v/>
      </c>
      <c r="Q19" s="88" t="s">
        <v>86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</row>
    <row r="20" spans="1:22" x14ac:dyDescent="0.25">
      <c r="A20" s="44" t="s">
        <v>59</v>
      </c>
      <c r="B20" s="45">
        <v>20492.544000000002</v>
      </c>
      <c r="C20" s="45">
        <v>7109.7510000000002</v>
      </c>
      <c r="D20" s="45">
        <v>1567.83</v>
      </c>
      <c r="E20" s="45">
        <v>602.78</v>
      </c>
      <c r="F20" s="45">
        <v>29772.904999999999</v>
      </c>
      <c r="I20" s="44" t="s">
        <v>59</v>
      </c>
      <c r="J20" s="261">
        <f t="shared" si="0"/>
        <v>0.68829507903242904</v>
      </c>
      <c r="K20" s="261">
        <f t="shared" si="1"/>
        <v>0.23879937144192012</v>
      </c>
      <c r="L20" s="261">
        <f t="shared" si="2"/>
        <v>5.2659624581477688E-2</v>
      </c>
      <c r="M20" s="261">
        <f t="shared" si="3"/>
        <v>2.0245924944173235E-2</v>
      </c>
      <c r="N20" s="261">
        <f t="shared" si="4"/>
        <v>1</v>
      </c>
      <c r="Q20" s="60" t="s">
        <v>59</v>
      </c>
      <c r="R20" s="61">
        <v>6526.7370000000001</v>
      </c>
      <c r="S20" s="61">
        <v>1877.14</v>
      </c>
      <c r="T20" s="61">
        <v>352.721</v>
      </c>
      <c r="U20" s="61">
        <v>64.28</v>
      </c>
      <c r="V20" s="61">
        <v>8820.8780000000006</v>
      </c>
    </row>
    <row r="23" spans="1:22" ht="18.75" x14ac:dyDescent="0.3">
      <c r="A23" s="308" t="s">
        <v>110</v>
      </c>
      <c r="B23" s="308"/>
    </row>
    <row r="24" spans="1:22" x14ac:dyDescent="0.25">
      <c r="A24" s="90" t="s">
        <v>94</v>
      </c>
      <c r="B24" s="90" t="s">
        <v>99</v>
      </c>
      <c r="C24" s="90" t="s">
        <v>100</v>
      </c>
      <c r="D24" s="90" t="s">
        <v>101</v>
      </c>
      <c r="E24" s="90" t="s">
        <v>102</v>
      </c>
      <c r="F24" s="90" t="s">
        <v>103</v>
      </c>
      <c r="I24" s="90" t="s">
        <v>94</v>
      </c>
      <c r="J24" s="90" t="s">
        <v>99</v>
      </c>
      <c r="K24" s="90" t="s">
        <v>100</v>
      </c>
      <c r="L24" s="90" t="s">
        <v>101</v>
      </c>
      <c r="M24" s="90" t="s">
        <v>102</v>
      </c>
      <c r="N24" s="90" t="s">
        <v>103</v>
      </c>
      <c r="O24" s="90" t="s">
        <v>115</v>
      </c>
      <c r="Q24" s="89" t="s">
        <v>94</v>
      </c>
      <c r="R24" s="89" t="s">
        <v>99</v>
      </c>
      <c r="S24" s="89" t="s">
        <v>100</v>
      </c>
      <c r="T24" s="89" t="s">
        <v>101</v>
      </c>
      <c r="U24" s="89" t="s">
        <v>102</v>
      </c>
      <c r="V24" s="89" t="s">
        <v>103</v>
      </c>
    </row>
    <row r="25" spans="1:22" x14ac:dyDescent="0.25">
      <c r="A25" s="88" t="s">
        <v>49</v>
      </c>
      <c r="B25" s="14">
        <v>1363.69</v>
      </c>
      <c r="C25" s="14">
        <v>1159.72</v>
      </c>
      <c r="D25" s="14">
        <v>429.15</v>
      </c>
      <c r="E25" s="14">
        <v>355.33</v>
      </c>
      <c r="F25" s="14">
        <v>3307.89</v>
      </c>
      <c r="I25" s="88" t="s">
        <v>49</v>
      </c>
      <c r="J25" s="26">
        <f t="shared" ref="J25:J41" si="5">IFERROR(B25/$F25,"")</f>
        <v>0.41225373274201987</v>
      </c>
      <c r="K25" s="26">
        <f t="shared" ref="K25:N40" si="6">IFERROR(C25/$F25,"")</f>
        <v>0.35059206926469744</v>
      </c>
      <c r="L25" s="26">
        <f t="shared" si="6"/>
        <v>0.12973526931064819</v>
      </c>
      <c r="M25" s="26">
        <f t="shared" si="6"/>
        <v>0.10741892868263454</v>
      </c>
      <c r="N25" s="26">
        <f t="shared" si="6"/>
        <v>1</v>
      </c>
      <c r="O25" s="26">
        <f>IFERROR(F25/$F$41,"")</f>
        <v>8.571043683382891E-2</v>
      </c>
      <c r="Q25" s="88" t="s">
        <v>49</v>
      </c>
      <c r="R25" s="26">
        <f>IFERROR(R4/V4,"")</f>
        <v>0.55366803349298788</v>
      </c>
      <c r="S25" s="26">
        <f>IFERROR(S4/V4,"")</f>
        <v>0.35645452143849854</v>
      </c>
      <c r="T25" s="26">
        <f>IFERROR(T4/V4,"")</f>
        <v>6.286252483833546E-2</v>
      </c>
      <c r="U25" s="26">
        <f>IFERROR(U4/V4,"")</f>
        <v>2.7014920230178145E-2</v>
      </c>
      <c r="V25" s="134">
        <f>IFERROR(V4/V4,"")</f>
        <v>1</v>
      </c>
    </row>
    <row r="26" spans="1:22" x14ac:dyDescent="0.25">
      <c r="A26" s="88" t="s">
        <v>50</v>
      </c>
      <c r="B26" s="14">
        <v>326.89999999999998</v>
      </c>
      <c r="C26" s="14">
        <v>193.78</v>
      </c>
      <c r="D26" s="14">
        <v>76.73</v>
      </c>
      <c r="E26" s="14">
        <v>22.49</v>
      </c>
      <c r="F26" s="14">
        <v>619.9</v>
      </c>
      <c r="I26" s="88" t="s">
        <v>50</v>
      </c>
      <c r="J26" s="26">
        <f t="shared" si="5"/>
        <v>0.52734311985804161</v>
      </c>
      <c r="K26" s="26">
        <f t="shared" si="6"/>
        <v>0.31259880625907405</v>
      </c>
      <c r="L26" s="26">
        <f t="shared" si="6"/>
        <v>0.12377802871430878</v>
      </c>
      <c r="M26" s="26">
        <f t="shared" si="6"/>
        <v>3.6280045168575574E-2</v>
      </c>
      <c r="N26" s="26">
        <f t="shared" si="6"/>
        <v>1</v>
      </c>
      <c r="O26" s="26">
        <f t="shared" ref="O26:O40" si="7">IFERROR(F26/$F$41,"")</f>
        <v>1.6062172500684892E-2</v>
      </c>
      <c r="Q26" s="88" t="s">
        <v>50</v>
      </c>
      <c r="R26" s="26">
        <f t="shared" ref="R26:R41" si="8">IFERROR(R5/V5,"")</f>
        <v>0.63407556929287834</v>
      </c>
      <c r="S26" s="26">
        <f t="shared" ref="S26:S41" si="9">IFERROR(S5/V5,"")</f>
        <v>0.22380621964296976</v>
      </c>
      <c r="T26" s="26">
        <f t="shared" ref="T26:T41" si="10">IFERROR(T5/V5,"")</f>
        <v>0.12697912067116635</v>
      </c>
      <c r="U26" s="26">
        <f t="shared" ref="U26:U41" si="11">IFERROR(U5/V5,"")</f>
        <v>1.5139090392985555E-2</v>
      </c>
      <c r="V26" s="134">
        <f t="shared" ref="V26:V41" si="12">IFERROR(V5/V5,"")</f>
        <v>1</v>
      </c>
    </row>
    <row r="27" spans="1:22" x14ac:dyDescent="0.25">
      <c r="A27" s="88" t="s">
        <v>63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I27" s="88" t="s">
        <v>63</v>
      </c>
      <c r="J27" s="26" t="str">
        <f t="shared" si="5"/>
        <v/>
      </c>
      <c r="K27" s="26" t="str">
        <f t="shared" si="6"/>
        <v/>
      </c>
      <c r="L27" s="26" t="str">
        <f t="shared" si="6"/>
        <v/>
      </c>
      <c r="M27" s="26" t="str">
        <f t="shared" si="6"/>
        <v/>
      </c>
      <c r="N27" s="26" t="str">
        <f t="shared" si="6"/>
        <v/>
      </c>
      <c r="O27" s="26">
        <f t="shared" si="7"/>
        <v>0</v>
      </c>
      <c r="Q27" s="88" t="s">
        <v>63</v>
      </c>
      <c r="R27" s="26" t="str">
        <f t="shared" si="8"/>
        <v/>
      </c>
      <c r="S27" s="26" t="str">
        <f t="shared" si="9"/>
        <v/>
      </c>
      <c r="T27" s="26" t="str">
        <f t="shared" si="10"/>
        <v/>
      </c>
      <c r="U27" s="26" t="str">
        <f t="shared" si="11"/>
        <v/>
      </c>
      <c r="V27" s="134" t="str">
        <f t="shared" si="12"/>
        <v/>
      </c>
    </row>
    <row r="28" spans="1:22" x14ac:dyDescent="0.25">
      <c r="A28" s="88" t="s">
        <v>60</v>
      </c>
      <c r="B28" s="14">
        <v>113.85</v>
      </c>
      <c r="C28" s="14">
        <v>91.04</v>
      </c>
      <c r="D28" s="14">
        <v>11.06</v>
      </c>
      <c r="E28" s="14">
        <v>2.86</v>
      </c>
      <c r="F28" s="14">
        <v>218.81</v>
      </c>
      <c r="I28" s="88" t="s">
        <v>60</v>
      </c>
      <c r="J28" s="26">
        <f t="shared" si="5"/>
        <v>0.52031442804259398</v>
      </c>
      <c r="K28" s="26">
        <f t="shared" si="6"/>
        <v>0.41606873543256712</v>
      </c>
      <c r="L28" s="26">
        <f t="shared" si="6"/>
        <v>5.0546135917005623E-2</v>
      </c>
      <c r="M28" s="26">
        <f t="shared" si="6"/>
        <v>1.307070060783328E-2</v>
      </c>
      <c r="N28" s="26">
        <f t="shared" si="6"/>
        <v>1</v>
      </c>
      <c r="O28" s="26">
        <f t="shared" si="7"/>
        <v>5.6695660023791923E-3</v>
      </c>
      <c r="Q28" s="88" t="s">
        <v>60</v>
      </c>
      <c r="R28" s="26">
        <f t="shared" si="8"/>
        <v>0.60197453884125751</v>
      </c>
      <c r="S28" s="26">
        <f t="shared" si="9"/>
        <v>0.3977656534164718</v>
      </c>
      <c r="T28" s="26">
        <f t="shared" si="10"/>
        <v>0</v>
      </c>
      <c r="U28" s="26">
        <f t="shared" si="11"/>
        <v>2.5980774227071964E-4</v>
      </c>
      <c r="V28" s="134">
        <f t="shared" si="12"/>
        <v>1</v>
      </c>
    </row>
    <row r="29" spans="1:22" x14ac:dyDescent="0.25">
      <c r="A29" s="88" t="s">
        <v>53</v>
      </c>
      <c r="B29" s="14">
        <v>1194.1849999999999</v>
      </c>
      <c r="C29" s="14">
        <v>376.71</v>
      </c>
      <c r="D29" s="14">
        <v>133.06</v>
      </c>
      <c r="E29" s="14">
        <v>22</v>
      </c>
      <c r="F29" s="14">
        <v>1725.9549999999999</v>
      </c>
      <c r="I29" s="88" t="s">
        <v>53</v>
      </c>
      <c r="J29" s="26">
        <f t="shared" si="5"/>
        <v>0.69189810858336398</v>
      </c>
      <c r="K29" s="26">
        <f t="shared" si="6"/>
        <v>0.21826177391646942</v>
      </c>
      <c r="L29" s="26">
        <f t="shared" si="6"/>
        <v>7.709355110648887E-2</v>
      </c>
      <c r="M29" s="26">
        <f t="shared" si="6"/>
        <v>1.2746566393677704E-2</v>
      </c>
      <c r="N29" s="26">
        <f t="shared" si="6"/>
        <v>1</v>
      </c>
      <c r="O29" s="26">
        <f t="shared" si="7"/>
        <v>4.4721062975350202E-2</v>
      </c>
      <c r="Q29" s="88" t="s">
        <v>53</v>
      </c>
      <c r="R29" s="26">
        <f t="shared" si="8"/>
        <v>0.83217372970693648</v>
      </c>
      <c r="S29" s="26">
        <f t="shared" si="9"/>
        <v>0.1458248068360804</v>
      </c>
      <c r="T29" s="26">
        <f t="shared" si="10"/>
        <v>2.2001463456983044E-2</v>
      </c>
      <c r="U29" s="26">
        <f t="shared" si="11"/>
        <v>0</v>
      </c>
      <c r="V29" s="134">
        <f t="shared" si="12"/>
        <v>1</v>
      </c>
    </row>
    <row r="30" spans="1:22" x14ac:dyDescent="0.25">
      <c r="A30" s="88" t="s">
        <v>52</v>
      </c>
      <c r="B30" s="14">
        <v>22826.78</v>
      </c>
      <c r="C30" s="14">
        <v>5994.4970000000003</v>
      </c>
      <c r="D30" s="14">
        <v>945.17</v>
      </c>
      <c r="E30" s="14">
        <v>182.38</v>
      </c>
      <c r="F30" s="14">
        <v>29948.826999999997</v>
      </c>
      <c r="I30" s="88" t="s">
        <v>52</v>
      </c>
      <c r="J30" s="26">
        <f t="shared" si="5"/>
        <v>0.7621927897209464</v>
      </c>
      <c r="K30" s="26">
        <f t="shared" si="6"/>
        <v>0.20015798949321123</v>
      </c>
      <c r="L30" s="26">
        <f t="shared" si="6"/>
        <v>3.1559499809458318E-2</v>
      </c>
      <c r="M30" s="26">
        <f t="shared" si="6"/>
        <v>6.0897209763841505E-3</v>
      </c>
      <c r="N30" s="26">
        <f t="shared" si="6"/>
        <v>1</v>
      </c>
      <c r="O30" s="26">
        <f t="shared" si="7"/>
        <v>0.77600133161343632</v>
      </c>
      <c r="Q30" s="88" t="s">
        <v>52</v>
      </c>
      <c r="R30" s="26">
        <f t="shared" si="8"/>
        <v>0.81087884816007572</v>
      </c>
      <c r="S30" s="26">
        <f t="shared" si="9"/>
        <v>0.16660564904391326</v>
      </c>
      <c r="T30" s="26">
        <f t="shared" si="10"/>
        <v>1.8912763158747334E-2</v>
      </c>
      <c r="U30" s="26">
        <f t="shared" si="11"/>
        <v>3.602739637263732E-3</v>
      </c>
      <c r="V30" s="134">
        <f t="shared" si="12"/>
        <v>1</v>
      </c>
    </row>
    <row r="31" spans="1:22" x14ac:dyDescent="0.25">
      <c r="A31" s="88" t="s">
        <v>65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I31" s="88" t="s">
        <v>65</v>
      </c>
      <c r="J31" s="26" t="str">
        <f t="shared" si="5"/>
        <v/>
      </c>
      <c r="K31" s="26" t="str">
        <f t="shared" si="6"/>
        <v/>
      </c>
      <c r="L31" s="26" t="str">
        <f t="shared" si="6"/>
        <v/>
      </c>
      <c r="M31" s="26" t="str">
        <f t="shared" si="6"/>
        <v/>
      </c>
      <c r="N31" s="26" t="str">
        <f t="shared" si="6"/>
        <v/>
      </c>
      <c r="O31" s="26">
        <f t="shared" si="7"/>
        <v>0</v>
      </c>
      <c r="Q31" s="88" t="s">
        <v>65</v>
      </c>
      <c r="R31" s="26" t="str">
        <f t="shared" si="8"/>
        <v/>
      </c>
      <c r="S31" s="26" t="str">
        <f t="shared" si="9"/>
        <v/>
      </c>
      <c r="T31" s="26" t="str">
        <f t="shared" si="10"/>
        <v/>
      </c>
      <c r="U31" s="26" t="str">
        <f t="shared" si="11"/>
        <v/>
      </c>
      <c r="V31" s="134" t="str">
        <f t="shared" si="12"/>
        <v/>
      </c>
    </row>
    <row r="32" spans="1:22" x14ac:dyDescent="0.25">
      <c r="A32" s="88" t="s">
        <v>51</v>
      </c>
      <c r="B32" s="14">
        <v>101.41</v>
      </c>
      <c r="C32" s="14">
        <v>262.24</v>
      </c>
      <c r="D32" s="14">
        <v>82.9</v>
      </c>
      <c r="E32" s="14">
        <v>21.5</v>
      </c>
      <c r="F32" s="14">
        <v>468.04999999999995</v>
      </c>
      <c r="I32" s="88" t="s">
        <v>51</v>
      </c>
      <c r="J32" s="26">
        <f t="shared" si="5"/>
        <v>0.21666488623010363</v>
      </c>
      <c r="K32" s="26">
        <f t="shared" si="6"/>
        <v>0.56028202115158643</v>
      </c>
      <c r="L32" s="26">
        <f t="shared" si="6"/>
        <v>0.17711782929174236</v>
      </c>
      <c r="M32" s="26">
        <f t="shared" si="6"/>
        <v>4.593526332656768E-2</v>
      </c>
      <c r="N32" s="26">
        <f t="shared" si="6"/>
        <v>1</v>
      </c>
      <c r="O32" s="26">
        <f t="shared" si="7"/>
        <v>1.2127600966197069E-2</v>
      </c>
      <c r="Q32" s="88" t="s">
        <v>51</v>
      </c>
      <c r="R32" s="26">
        <f t="shared" si="8"/>
        <v>0.23001820929061251</v>
      </c>
      <c r="S32" s="26">
        <f t="shared" si="9"/>
        <v>0.4739064739839603</v>
      </c>
      <c r="T32" s="26">
        <f t="shared" si="10"/>
        <v>0.25694471349424658</v>
      </c>
      <c r="U32" s="26">
        <f t="shared" si="11"/>
        <v>3.9130603231180498E-2</v>
      </c>
      <c r="V32" s="134">
        <f t="shared" si="12"/>
        <v>1</v>
      </c>
    </row>
    <row r="33" spans="1:22" x14ac:dyDescent="0.25">
      <c r="A33" s="88" t="s">
        <v>54</v>
      </c>
      <c r="B33" s="14">
        <v>616.91999999999996</v>
      </c>
      <c r="C33" s="14">
        <v>497.25</v>
      </c>
      <c r="D33" s="14">
        <v>125.86</v>
      </c>
      <c r="E33" s="14">
        <v>43.7</v>
      </c>
      <c r="F33" s="14">
        <v>1283.73</v>
      </c>
      <c r="I33" s="88" t="s">
        <v>54</v>
      </c>
      <c r="J33" s="26">
        <f t="shared" si="5"/>
        <v>0.48056834381061436</v>
      </c>
      <c r="K33" s="26">
        <f t="shared" si="6"/>
        <v>0.38734780678179992</v>
      </c>
      <c r="L33" s="26">
        <f t="shared" si="6"/>
        <v>9.8042423250995145E-2</v>
      </c>
      <c r="M33" s="26">
        <f t="shared" si="6"/>
        <v>3.404142615659056E-2</v>
      </c>
      <c r="N33" s="26">
        <f t="shared" si="6"/>
        <v>1</v>
      </c>
      <c r="O33" s="26">
        <f t="shared" si="7"/>
        <v>3.3262611234560764E-2</v>
      </c>
      <c r="Q33" s="88" t="s">
        <v>54</v>
      </c>
      <c r="R33" s="26">
        <f t="shared" si="8"/>
        <v>0.42527869029026866</v>
      </c>
      <c r="S33" s="26">
        <f t="shared" si="9"/>
        <v>0.44603909742043185</v>
      </c>
      <c r="T33" s="26">
        <f t="shared" si="10"/>
        <v>0.12001184770316117</v>
      </c>
      <c r="U33" s="26">
        <f t="shared" si="11"/>
        <v>8.6703645861381864E-3</v>
      </c>
      <c r="V33" s="134">
        <f t="shared" si="12"/>
        <v>1</v>
      </c>
    </row>
    <row r="34" spans="1:22" x14ac:dyDescent="0.25">
      <c r="A34" s="88" t="s">
        <v>67</v>
      </c>
      <c r="B34" s="14">
        <v>0</v>
      </c>
      <c r="C34" s="14">
        <v>0.09</v>
      </c>
      <c r="D34" s="14">
        <v>0</v>
      </c>
      <c r="E34" s="14">
        <v>0.21</v>
      </c>
      <c r="F34" s="14">
        <v>0.3</v>
      </c>
      <c r="I34" s="88" t="s">
        <v>67</v>
      </c>
      <c r="J34" s="26">
        <f t="shared" si="5"/>
        <v>0</v>
      </c>
      <c r="K34" s="26">
        <f t="shared" si="6"/>
        <v>0.3</v>
      </c>
      <c r="L34" s="26">
        <f t="shared" si="6"/>
        <v>0</v>
      </c>
      <c r="M34" s="26">
        <f t="shared" si="6"/>
        <v>0.7</v>
      </c>
      <c r="N34" s="26">
        <f t="shared" si="6"/>
        <v>1</v>
      </c>
      <c r="O34" s="26">
        <f t="shared" si="7"/>
        <v>7.7732727056064961E-6</v>
      </c>
      <c r="Q34" s="88" t="s">
        <v>67</v>
      </c>
      <c r="R34" s="26" t="str">
        <f t="shared" si="8"/>
        <v/>
      </c>
      <c r="S34" s="26" t="str">
        <f t="shared" si="9"/>
        <v/>
      </c>
      <c r="T34" s="26" t="str">
        <f t="shared" si="10"/>
        <v/>
      </c>
      <c r="U34" s="26" t="str">
        <f t="shared" si="11"/>
        <v/>
      </c>
      <c r="V34" s="134" t="str">
        <f t="shared" si="12"/>
        <v/>
      </c>
    </row>
    <row r="35" spans="1:22" x14ac:dyDescent="0.25">
      <c r="A35" s="88" t="s">
        <v>75</v>
      </c>
      <c r="B35" s="14">
        <v>0.81</v>
      </c>
      <c r="C35" s="14">
        <v>0</v>
      </c>
      <c r="D35" s="14">
        <v>0.15</v>
      </c>
      <c r="E35" s="14">
        <v>0</v>
      </c>
      <c r="F35" s="14">
        <v>0.96000000000000008</v>
      </c>
      <c r="I35" s="88" t="s">
        <v>75</v>
      </c>
      <c r="J35" s="26">
        <f t="shared" si="5"/>
        <v>0.84375</v>
      </c>
      <c r="K35" s="26">
        <f t="shared" si="6"/>
        <v>0</v>
      </c>
      <c r="L35" s="26">
        <f t="shared" si="6"/>
        <v>0.15624999999999997</v>
      </c>
      <c r="M35" s="26">
        <f t="shared" si="6"/>
        <v>0</v>
      </c>
      <c r="N35" s="26">
        <f t="shared" si="6"/>
        <v>1</v>
      </c>
      <c r="O35" s="26">
        <f t="shared" si="7"/>
        <v>2.4874472657940794E-5</v>
      </c>
      <c r="Q35" s="88" t="s">
        <v>75</v>
      </c>
      <c r="R35" s="26" t="str">
        <f t="shared" si="8"/>
        <v/>
      </c>
      <c r="S35" s="26" t="str">
        <f t="shared" si="9"/>
        <v/>
      </c>
      <c r="T35" s="26" t="str">
        <f t="shared" si="10"/>
        <v/>
      </c>
      <c r="U35" s="26" t="str">
        <f t="shared" si="11"/>
        <v/>
      </c>
      <c r="V35" s="134" t="str">
        <f t="shared" si="12"/>
        <v/>
      </c>
    </row>
    <row r="36" spans="1:22" x14ac:dyDescent="0.25">
      <c r="A36" s="88" t="s">
        <v>55</v>
      </c>
      <c r="B36" s="14">
        <v>16.012</v>
      </c>
      <c r="C36" s="14">
        <v>15.314</v>
      </c>
      <c r="D36" s="14">
        <v>5.7409999999999997</v>
      </c>
      <c r="E36" s="14">
        <v>4.34</v>
      </c>
      <c r="F36" s="14">
        <v>41.406999999999996</v>
      </c>
      <c r="I36" s="88" t="s">
        <v>55</v>
      </c>
      <c r="J36" s="26">
        <f t="shared" si="5"/>
        <v>0.38669790132103271</v>
      </c>
      <c r="K36" s="26">
        <f t="shared" si="6"/>
        <v>0.36984084816576912</v>
      </c>
      <c r="L36" s="26">
        <f t="shared" si="6"/>
        <v>0.13864805467674549</v>
      </c>
      <c r="M36" s="26">
        <f t="shared" si="6"/>
        <v>0.10481319583645278</v>
      </c>
      <c r="N36" s="26">
        <f t="shared" si="6"/>
        <v>1</v>
      </c>
      <c r="O36" s="26">
        <f t="shared" si="7"/>
        <v>1.0728930097368273E-3</v>
      </c>
      <c r="Q36" s="88" t="s">
        <v>55</v>
      </c>
      <c r="R36" s="26">
        <f t="shared" si="8"/>
        <v>0.54702739377491305</v>
      </c>
      <c r="S36" s="26">
        <f t="shared" si="9"/>
        <v>0.37825460096683911</v>
      </c>
      <c r="T36" s="26">
        <f t="shared" si="10"/>
        <v>7.4718005258247816E-2</v>
      </c>
      <c r="U36" s="26">
        <f t="shared" si="11"/>
        <v>0</v>
      </c>
      <c r="V36" s="134">
        <f t="shared" si="12"/>
        <v>1</v>
      </c>
    </row>
    <row r="37" spans="1:22" x14ac:dyDescent="0.25">
      <c r="A37" s="88" t="s">
        <v>80</v>
      </c>
      <c r="B37" s="14">
        <v>123.904</v>
      </c>
      <c r="C37" s="14">
        <v>140.96</v>
      </c>
      <c r="D37" s="14">
        <v>55.35</v>
      </c>
      <c r="E37" s="14">
        <v>2.09</v>
      </c>
      <c r="F37" s="14">
        <v>322.30400000000003</v>
      </c>
      <c r="I37" s="88" t="s">
        <v>80</v>
      </c>
      <c r="J37" s="26">
        <f t="shared" si="5"/>
        <v>0.3844320889594916</v>
      </c>
      <c r="K37" s="26">
        <f t="shared" si="6"/>
        <v>0.43735107227958697</v>
      </c>
      <c r="L37" s="26">
        <f t="shared" si="6"/>
        <v>0.17173227760127083</v>
      </c>
      <c r="M37" s="26">
        <f t="shared" si="6"/>
        <v>6.4845611596505148E-3</v>
      </c>
      <c r="N37" s="26">
        <f t="shared" si="6"/>
        <v>1</v>
      </c>
      <c r="O37" s="26">
        <f t="shared" si="7"/>
        <v>8.3511896203593231E-3</v>
      </c>
      <c r="Q37" s="88" t="s">
        <v>80</v>
      </c>
      <c r="R37" s="26">
        <f t="shared" si="8"/>
        <v>0.83906700664632372</v>
      </c>
      <c r="S37" s="26">
        <f t="shared" si="9"/>
        <v>0.15205032813610336</v>
      </c>
      <c r="T37" s="26">
        <f t="shared" si="10"/>
        <v>8.8826652175730478E-3</v>
      </c>
      <c r="U37" s="26">
        <f t="shared" si="11"/>
        <v>0</v>
      </c>
      <c r="V37" s="134">
        <f t="shared" si="12"/>
        <v>1</v>
      </c>
    </row>
    <row r="38" spans="1:22" x14ac:dyDescent="0.25">
      <c r="A38" s="88" t="s">
        <v>56</v>
      </c>
      <c r="B38" s="14">
        <v>314.37</v>
      </c>
      <c r="C38" s="14">
        <v>251.16</v>
      </c>
      <c r="D38" s="14">
        <v>55.38</v>
      </c>
      <c r="E38" s="14">
        <v>10.16</v>
      </c>
      <c r="F38" s="14">
        <v>631.06999999999994</v>
      </c>
      <c r="I38" s="88" t="s">
        <v>56</v>
      </c>
      <c r="J38" s="26">
        <f t="shared" si="5"/>
        <v>0.49815392904115241</v>
      </c>
      <c r="K38" s="26">
        <f t="shared" si="6"/>
        <v>0.39799071418384652</v>
      </c>
      <c r="L38" s="26">
        <f t="shared" si="6"/>
        <v>8.7755716481531382E-2</v>
      </c>
      <c r="M38" s="26">
        <f t="shared" si="6"/>
        <v>1.6099640293469823E-2</v>
      </c>
      <c r="N38" s="26">
        <f t="shared" si="6"/>
        <v>1</v>
      </c>
      <c r="O38" s="26">
        <f t="shared" si="7"/>
        <v>1.6351597354423639E-2</v>
      </c>
      <c r="Q38" s="88" t="s">
        <v>56</v>
      </c>
      <c r="R38" s="26">
        <f t="shared" si="8"/>
        <v>0.60644862696698565</v>
      </c>
      <c r="S38" s="26">
        <f t="shared" si="9"/>
        <v>0.31687750694230177</v>
      </c>
      <c r="T38" s="26">
        <f t="shared" si="10"/>
        <v>7.5169700709657519E-2</v>
      </c>
      <c r="U38" s="26">
        <f t="shared" si="11"/>
        <v>1.5041653810552301E-3</v>
      </c>
      <c r="V38" s="134">
        <f t="shared" si="12"/>
        <v>1</v>
      </c>
    </row>
    <row r="39" spans="1:22" x14ac:dyDescent="0.25">
      <c r="A39" s="88" t="s">
        <v>57</v>
      </c>
      <c r="B39" s="14">
        <v>20.45</v>
      </c>
      <c r="C39" s="14">
        <v>4.13</v>
      </c>
      <c r="D39" s="14">
        <v>0</v>
      </c>
      <c r="E39" s="14">
        <v>0</v>
      </c>
      <c r="F39" s="14">
        <v>24.58</v>
      </c>
      <c r="I39" s="88" t="s">
        <v>57</v>
      </c>
      <c r="J39" s="26">
        <f t="shared" si="5"/>
        <v>0.83197721724979656</v>
      </c>
      <c r="K39" s="26">
        <f t="shared" si="6"/>
        <v>0.16802278275020344</v>
      </c>
      <c r="L39" s="26">
        <f t="shared" si="6"/>
        <v>0</v>
      </c>
      <c r="M39" s="26">
        <f t="shared" si="6"/>
        <v>0</v>
      </c>
      <c r="N39" s="26">
        <f t="shared" si="6"/>
        <v>1</v>
      </c>
      <c r="O39" s="26">
        <f t="shared" si="7"/>
        <v>6.3689014367935897E-4</v>
      </c>
      <c r="Q39" s="88" t="s">
        <v>57</v>
      </c>
      <c r="R39" s="26">
        <f t="shared" si="8"/>
        <v>0.81404772624943722</v>
      </c>
      <c r="S39" s="26">
        <f t="shared" si="9"/>
        <v>0.18595227375056284</v>
      </c>
      <c r="T39" s="26">
        <f t="shared" si="10"/>
        <v>0</v>
      </c>
      <c r="U39" s="26">
        <f t="shared" si="11"/>
        <v>0</v>
      </c>
      <c r="V39" s="134">
        <f t="shared" si="12"/>
        <v>1</v>
      </c>
    </row>
    <row r="40" spans="1:22" x14ac:dyDescent="0.25">
      <c r="A40" s="88" t="s">
        <v>86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I40" s="88" t="s">
        <v>86</v>
      </c>
      <c r="J40" s="26" t="str">
        <f t="shared" si="5"/>
        <v/>
      </c>
      <c r="K40" s="26" t="str">
        <f t="shared" si="6"/>
        <v/>
      </c>
      <c r="L40" s="26" t="str">
        <f t="shared" si="6"/>
        <v/>
      </c>
      <c r="M40" s="26" t="str">
        <f t="shared" si="6"/>
        <v/>
      </c>
      <c r="N40" s="26" t="str">
        <f t="shared" si="6"/>
        <v/>
      </c>
      <c r="O40" s="26">
        <f t="shared" si="7"/>
        <v>0</v>
      </c>
      <c r="Q40" s="88" t="s">
        <v>86</v>
      </c>
      <c r="R40" s="26" t="str">
        <f t="shared" si="8"/>
        <v/>
      </c>
      <c r="S40" s="26" t="str">
        <f t="shared" si="9"/>
        <v/>
      </c>
      <c r="T40" s="26" t="str">
        <f t="shared" si="10"/>
        <v/>
      </c>
      <c r="U40" s="26" t="str">
        <f t="shared" si="11"/>
        <v/>
      </c>
      <c r="V40" s="134" t="str">
        <f t="shared" si="12"/>
        <v/>
      </c>
    </row>
    <row r="41" spans="1:22" x14ac:dyDescent="0.25">
      <c r="A41" s="16" t="s">
        <v>59</v>
      </c>
      <c r="B41" s="17">
        <v>27019.280999999999</v>
      </c>
      <c r="C41" s="17">
        <v>8986.8909999999996</v>
      </c>
      <c r="D41" s="17">
        <v>1920.5509999999999</v>
      </c>
      <c r="E41" s="17">
        <v>667.06</v>
      </c>
      <c r="F41" s="17">
        <v>38593.782999999996</v>
      </c>
      <c r="I41" s="16" t="s">
        <v>59</v>
      </c>
      <c r="J41" s="25">
        <f t="shared" si="5"/>
        <v>0.70009413174137403</v>
      </c>
      <c r="K41" s="25">
        <f>IFERROR(C41/$F41,"")</f>
        <v>0.23285851506186891</v>
      </c>
      <c r="L41" s="25">
        <f>IFERROR(D41/$F41,"")</f>
        <v>4.9763222226750878E-2</v>
      </c>
      <c r="M41" s="25">
        <f>IFERROR(E41/$F41,"")</f>
        <v>1.7284130970006233E-2</v>
      </c>
      <c r="N41" s="25">
        <f>IFERROR(F41/$F41,"")</f>
        <v>1</v>
      </c>
      <c r="Q41" s="60" t="s">
        <v>59</v>
      </c>
      <c r="R41" s="62">
        <f t="shared" si="8"/>
        <v>0.73991920078704176</v>
      </c>
      <c r="S41" s="62">
        <f t="shared" si="9"/>
        <v>0.21280648026194218</v>
      </c>
      <c r="T41" s="62">
        <f t="shared" si="10"/>
        <v>3.9987062512371212E-2</v>
      </c>
      <c r="U41" s="62">
        <f t="shared" si="11"/>
        <v>7.2872564386447696E-3</v>
      </c>
      <c r="V41" s="62">
        <f t="shared" si="12"/>
        <v>1</v>
      </c>
    </row>
  </sheetData>
  <mergeCells count="3">
    <mergeCell ref="A2:B2"/>
    <mergeCell ref="I2:J2"/>
    <mergeCell ref="A23:B23"/>
  </mergeCells>
  <conditionalFormatting sqref="J4:M19">
    <cfRule type="colorScale" priority="2">
      <colorScale>
        <cfvo type="percentile" val="25"/>
        <cfvo type="percentile" val="50"/>
        <cfvo type="percentile" val="75"/>
        <color theme="5" tint="0.79998168889431442"/>
        <color theme="5" tint="0.59999389629810485"/>
        <color theme="5" tint="0.39997558519241921"/>
      </colorScale>
    </cfRule>
  </conditionalFormatting>
  <conditionalFormatting sqref="R25:U40">
    <cfRule type="colorScale" priority="1">
      <colorScale>
        <cfvo type="percentile" val="25"/>
        <cfvo type="percentile" val="50"/>
        <cfvo type="percentile" val="75"/>
        <color theme="9" tint="0.79998168889431442"/>
        <color theme="9" tint="0.59999389629810485"/>
        <color theme="9" tint="0.39997558519241921"/>
      </colorScale>
    </cfRule>
  </conditionalFormatting>
  <hyperlinks>
    <hyperlink ref="E1" location="INDICE!A1" display="INDIC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topLeftCell="A25" workbookViewId="0">
      <selection activeCell="E1" sqref="E1"/>
    </sheetView>
  </sheetViews>
  <sheetFormatPr baseColWidth="10" defaultRowHeight="15" x14ac:dyDescent="0.25"/>
  <cols>
    <col min="1" max="1" width="14.85546875" customWidth="1"/>
    <col min="9" max="9" width="17.28515625" customWidth="1"/>
    <col min="17" max="17" width="24.28515625" bestFit="1" customWidth="1"/>
  </cols>
  <sheetData>
    <row r="1" spans="1:22" x14ac:dyDescent="0.25">
      <c r="D1" s="2" t="s">
        <v>0</v>
      </c>
      <c r="E1" s="176" t="s">
        <v>1</v>
      </c>
      <c r="F1" s="2" t="s">
        <v>216</v>
      </c>
      <c r="G1" t="s">
        <v>225</v>
      </c>
    </row>
    <row r="2" spans="1:22" ht="18.75" x14ac:dyDescent="0.3">
      <c r="A2" s="307" t="s">
        <v>9</v>
      </c>
      <c r="B2" s="307"/>
      <c r="I2" s="307" t="s">
        <v>9</v>
      </c>
      <c r="J2" s="307"/>
      <c r="Q2" s="260" t="s">
        <v>109</v>
      </c>
      <c r="R2" s="260"/>
    </row>
    <row r="3" spans="1:22" x14ac:dyDescent="0.25">
      <c r="A3" s="87" t="s">
        <v>94</v>
      </c>
      <c r="B3" s="87" t="s">
        <v>99</v>
      </c>
      <c r="C3" s="87" t="s">
        <v>100</v>
      </c>
      <c r="D3" s="87" t="s">
        <v>101</v>
      </c>
      <c r="E3" s="87" t="s">
        <v>102</v>
      </c>
      <c r="F3" s="87" t="s">
        <v>103</v>
      </c>
      <c r="I3" s="87" t="s">
        <v>94</v>
      </c>
      <c r="J3" s="87" t="s">
        <v>99</v>
      </c>
      <c r="K3" s="87" t="s">
        <v>100</v>
      </c>
      <c r="L3" s="87" t="s">
        <v>101</v>
      </c>
      <c r="M3" s="87" t="s">
        <v>102</v>
      </c>
      <c r="N3" s="87" t="s">
        <v>103</v>
      </c>
      <c r="Q3" s="89" t="s">
        <v>94</v>
      </c>
      <c r="R3" s="89" t="s">
        <v>99</v>
      </c>
      <c r="S3" s="89" t="s">
        <v>100</v>
      </c>
      <c r="T3" s="89" t="s">
        <v>101</v>
      </c>
      <c r="U3" s="89" t="s">
        <v>102</v>
      </c>
      <c r="V3" s="89" t="s">
        <v>103</v>
      </c>
    </row>
    <row r="4" spans="1:22" x14ac:dyDescent="0.25">
      <c r="A4" s="88" t="s">
        <v>49</v>
      </c>
      <c r="B4" s="14">
        <v>0</v>
      </c>
      <c r="C4" s="14">
        <v>0</v>
      </c>
      <c r="D4" s="14">
        <v>0</v>
      </c>
      <c r="E4" s="14">
        <v>0.03</v>
      </c>
      <c r="F4" s="14">
        <v>0.03</v>
      </c>
      <c r="I4" s="88" t="s">
        <v>49</v>
      </c>
      <c r="J4" s="134">
        <f>IFERROR(B4/F4,"")</f>
        <v>0</v>
      </c>
      <c r="K4" s="134">
        <f>IFERROR(C4/F4,"")</f>
        <v>0</v>
      </c>
      <c r="L4" s="134">
        <f>IFERROR(D4/F4,"")</f>
        <v>0</v>
      </c>
      <c r="M4" s="134">
        <f>IFERROR(E4/F4,"")</f>
        <v>1</v>
      </c>
      <c r="N4" s="135">
        <f>IFERROR(F4/F4,"")</f>
        <v>1</v>
      </c>
      <c r="Q4" s="88" t="s">
        <v>49</v>
      </c>
      <c r="R4" s="14">
        <v>0.43</v>
      </c>
      <c r="S4" s="14">
        <v>0</v>
      </c>
      <c r="T4" s="14">
        <v>0</v>
      </c>
      <c r="U4" s="14">
        <v>0</v>
      </c>
      <c r="V4" s="14">
        <v>0.43</v>
      </c>
    </row>
    <row r="5" spans="1:22" x14ac:dyDescent="0.25">
      <c r="A5" s="88" t="s">
        <v>50</v>
      </c>
      <c r="B5" s="14">
        <v>6.35</v>
      </c>
      <c r="C5" s="14">
        <v>17.68</v>
      </c>
      <c r="D5" s="14">
        <v>7.65</v>
      </c>
      <c r="E5" s="14">
        <v>6.92</v>
      </c>
      <c r="F5" s="14">
        <v>38.6</v>
      </c>
      <c r="I5" s="88" t="s">
        <v>50</v>
      </c>
      <c r="J5" s="134">
        <f t="shared" ref="J5:J19" si="0">IFERROR(B5/F5,"")</f>
        <v>0.16450777202072536</v>
      </c>
      <c r="K5" s="134">
        <f t="shared" ref="K5:K19" si="1">IFERROR(C5/F5,"")</f>
        <v>0.45803108808290155</v>
      </c>
      <c r="L5" s="134">
        <f t="shared" ref="L5:L19" si="2">IFERROR(D5/F5,"")</f>
        <v>0.19818652849740934</v>
      </c>
      <c r="M5" s="134">
        <f t="shared" ref="M5:M19" si="3">IFERROR(E5/F5,"")</f>
        <v>0.17927461139896372</v>
      </c>
      <c r="N5" s="135">
        <f t="shared" ref="N5:N19" si="4">IFERROR(F5/F5,"")</f>
        <v>1</v>
      </c>
      <c r="Q5" s="88" t="s">
        <v>50</v>
      </c>
      <c r="R5" s="14">
        <v>4.4000000000000004</v>
      </c>
      <c r="S5" s="14">
        <v>9.65</v>
      </c>
      <c r="T5" s="14">
        <v>0.24</v>
      </c>
      <c r="U5" s="14">
        <v>0.2</v>
      </c>
      <c r="V5" s="14">
        <v>14.49</v>
      </c>
    </row>
    <row r="6" spans="1:22" x14ac:dyDescent="0.25">
      <c r="A6" s="88" t="s">
        <v>63</v>
      </c>
      <c r="B6" s="14">
        <v>0.05</v>
      </c>
      <c r="C6" s="14">
        <v>0.11</v>
      </c>
      <c r="D6" s="14">
        <v>0.03</v>
      </c>
      <c r="E6" s="14">
        <v>1.72</v>
      </c>
      <c r="F6" s="14">
        <v>1.91</v>
      </c>
      <c r="I6" s="88" t="s">
        <v>63</v>
      </c>
      <c r="J6" s="134">
        <f t="shared" si="0"/>
        <v>2.6178010471204192E-2</v>
      </c>
      <c r="K6" s="134">
        <f t="shared" si="1"/>
        <v>5.759162303664922E-2</v>
      </c>
      <c r="L6" s="134">
        <f t="shared" si="2"/>
        <v>1.5706806282722512E-2</v>
      </c>
      <c r="M6" s="134">
        <f t="shared" si="3"/>
        <v>0.90052356020942415</v>
      </c>
      <c r="N6" s="135">
        <f t="shared" si="4"/>
        <v>1</v>
      </c>
      <c r="Q6" s="88" t="s">
        <v>63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</row>
    <row r="7" spans="1:22" x14ac:dyDescent="0.25">
      <c r="A7" s="88" t="s">
        <v>60</v>
      </c>
      <c r="B7" s="14">
        <v>13.57</v>
      </c>
      <c r="C7" s="14">
        <v>97.02</v>
      </c>
      <c r="D7" s="14">
        <v>122</v>
      </c>
      <c r="E7" s="14">
        <v>187.35</v>
      </c>
      <c r="F7" s="14">
        <v>419.94</v>
      </c>
      <c r="I7" s="88" t="s">
        <v>60</v>
      </c>
      <c r="J7" s="134">
        <f t="shared" si="0"/>
        <v>3.2314140115254561E-2</v>
      </c>
      <c r="K7" s="134">
        <f t="shared" si="1"/>
        <v>0.23103300471495927</v>
      </c>
      <c r="L7" s="134">
        <f t="shared" si="2"/>
        <v>0.29051769300376246</v>
      </c>
      <c r="M7" s="134">
        <f t="shared" si="3"/>
        <v>0.44613516216602372</v>
      </c>
      <c r="N7" s="135">
        <f t="shared" si="4"/>
        <v>1</v>
      </c>
      <c r="Q7" s="88" t="s">
        <v>60</v>
      </c>
      <c r="R7" s="14">
        <v>0</v>
      </c>
      <c r="S7" s="14">
        <v>2.29</v>
      </c>
      <c r="T7" s="14">
        <v>6.37</v>
      </c>
      <c r="U7" s="14">
        <v>6.56</v>
      </c>
      <c r="V7" s="14">
        <v>15.219999999999999</v>
      </c>
    </row>
    <row r="8" spans="1:22" x14ac:dyDescent="0.25">
      <c r="A8" s="88" t="s">
        <v>53</v>
      </c>
      <c r="B8" s="14">
        <v>1.71</v>
      </c>
      <c r="C8" s="14">
        <v>0</v>
      </c>
      <c r="D8" s="14">
        <v>0.09</v>
      </c>
      <c r="E8" s="14">
        <v>0</v>
      </c>
      <c r="F8" s="14">
        <v>1.8</v>
      </c>
      <c r="I8" s="88" t="s">
        <v>53</v>
      </c>
      <c r="J8" s="134">
        <f t="shared" si="0"/>
        <v>0.95</v>
      </c>
      <c r="K8" s="134">
        <f t="shared" si="1"/>
        <v>0</v>
      </c>
      <c r="L8" s="134">
        <f t="shared" si="2"/>
        <v>4.9999999999999996E-2</v>
      </c>
      <c r="M8" s="134">
        <f t="shared" si="3"/>
        <v>0</v>
      </c>
      <c r="N8" s="135">
        <f t="shared" si="4"/>
        <v>1</v>
      </c>
      <c r="Q8" s="88" t="s">
        <v>53</v>
      </c>
      <c r="R8" s="14">
        <v>3.5</v>
      </c>
      <c r="S8" s="14">
        <v>0</v>
      </c>
      <c r="T8" s="14">
        <v>0</v>
      </c>
      <c r="U8" s="14">
        <v>0.34</v>
      </c>
      <c r="V8" s="14">
        <v>3.84</v>
      </c>
    </row>
    <row r="9" spans="1:22" x14ac:dyDescent="0.25">
      <c r="A9" s="88" t="s">
        <v>52</v>
      </c>
      <c r="B9" s="14">
        <v>2.02</v>
      </c>
      <c r="C9" s="14">
        <v>1.81</v>
      </c>
      <c r="D9" s="14">
        <v>0</v>
      </c>
      <c r="E9" s="14">
        <v>0.47</v>
      </c>
      <c r="F9" s="14">
        <v>4.3</v>
      </c>
      <c r="I9" s="88" t="s">
        <v>52</v>
      </c>
      <c r="J9" s="134">
        <f t="shared" si="0"/>
        <v>0.46976744186046515</v>
      </c>
      <c r="K9" s="134">
        <f t="shared" si="1"/>
        <v>0.42093023255813955</v>
      </c>
      <c r="L9" s="134">
        <f t="shared" si="2"/>
        <v>0</v>
      </c>
      <c r="M9" s="134">
        <f t="shared" si="3"/>
        <v>0.10930232558139534</v>
      </c>
      <c r="N9" s="135">
        <f t="shared" si="4"/>
        <v>1</v>
      </c>
      <c r="Q9" s="88" t="s">
        <v>52</v>
      </c>
      <c r="R9" s="14">
        <v>8.99</v>
      </c>
      <c r="S9" s="14">
        <v>0.32</v>
      </c>
      <c r="T9" s="14">
        <v>0</v>
      </c>
      <c r="U9" s="14">
        <v>0</v>
      </c>
      <c r="V9" s="14">
        <v>9.31</v>
      </c>
    </row>
    <row r="10" spans="1:22" x14ac:dyDescent="0.25">
      <c r="A10" s="88" t="s">
        <v>65</v>
      </c>
      <c r="B10" s="14">
        <v>0</v>
      </c>
      <c r="C10" s="14">
        <v>0</v>
      </c>
      <c r="D10" s="14">
        <v>0</v>
      </c>
      <c r="E10" s="14">
        <v>0.33</v>
      </c>
      <c r="F10" s="14">
        <v>0.33</v>
      </c>
      <c r="I10" s="88" t="s">
        <v>65</v>
      </c>
      <c r="J10" s="134">
        <f t="shared" si="0"/>
        <v>0</v>
      </c>
      <c r="K10" s="134">
        <f t="shared" si="1"/>
        <v>0</v>
      </c>
      <c r="L10" s="134">
        <f t="shared" si="2"/>
        <v>0</v>
      </c>
      <c r="M10" s="134">
        <f t="shared" si="3"/>
        <v>1</v>
      </c>
      <c r="N10" s="135">
        <f t="shared" si="4"/>
        <v>1</v>
      </c>
      <c r="Q10" s="88" t="s">
        <v>65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</row>
    <row r="11" spans="1:22" x14ac:dyDescent="0.25">
      <c r="A11" s="88" t="s">
        <v>51</v>
      </c>
      <c r="B11" s="14">
        <v>338.93</v>
      </c>
      <c r="C11" s="14">
        <v>695.89</v>
      </c>
      <c r="D11" s="14">
        <v>580.67999999999995</v>
      </c>
      <c r="E11" s="14">
        <v>1385.5450000000001</v>
      </c>
      <c r="F11" s="14">
        <v>3001.0450000000001</v>
      </c>
      <c r="I11" s="88" t="s">
        <v>51</v>
      </c>
      <c r="J11" s="134">
        <f t="shared" si="0"/>
        <v>0.11293732683115382</v>
      </c>
      <c r="K11" s="134">
        <f t="shared" si="1"/>
        <v>0.2318825609079504</v>
      </c>
      <c r="L11" s="134">
        <f t="shared" si="2"/>
        <v>0.1934926000776396</v>
      </c>
      <c r="M11" s="134">
        <f t="shared" si="3"/>
        <v>0.46168751218325615</v>
      </c>
      <c r="N11" s="135">
        <f t="shared" si="4"/>
        <v>1</v>
      </c>
      <c r="Q11" s="88" t="s">
        <v>51</v>
      </c>
      <c r="R11" s="14">
        <v>4632.9800000000296</v>
      </c>
      <c r="S11" s="14">
        <v>1569.04999999999</v>
      </c>
      <c r="T11" s="14">
        <v>501.42999999999898</v>
      </c>
      <c r="U11" s="14">
        <v>371.68</v>
      </c>
      <c r="V11" s="14">
        <v>7075.1400000000194</v>
      </c>
    </row>
    <row r="12" spans="1:22" x14ac:dyDescent="0.25">
      <c r="A12" s="88" t="s">
        <v>54</v>
      </c>
      <c r="B12" s="14">
        <v>12.81</v>
      </c>
      <c r="C12" s="14">
        <v>0.62</v>
      </c>
      <c r="D12" s="14">
        <v>0.14000000000000001</v>
      </c>
      <c r="E12" s="14">
        <v>0.08</v>
      </c>
      <c r="F12" s="14">
        <v>13.65</v>
      </c>
      <c r="I12" s="88" t="s">
        <v>54</v>
      </c>
      <c r="J12" s="134">
        <f t="shared" si="0"/>
        <v>0.93846153846153846</v>
      </c>
      <c r="K12" s="134">
        <f t="shared" si="1"/>
        <v>4.5421245421245419E-2</v>
      </c>
      <c r="L12" s="134">
        <f t="shared" si="2"/>
        <v>1.0256410256410256E-2</v>
      </c>
      <c r="M12" s="134">
        <f t="shared" si="3"/>
        <v>5.8608058608058608E-3</v>
      </c>
      <c r="N12" s="135">
        <f t="shared" si="4"/>
        <v>1</v>
      </c>
      <c r="Q12" s="88" t="s">
        <v>54</v>
      </c>
      <c r="R12" s="14">
        <v>33.520000000000003</v>
      </c>
      <c r="S12" s="14">
        <v>0.61</v>
      </c>
      <c r="T12" s="14">
        <v>0.15</v>
      </c>
      <c r="U12" s="14">
        <v>0</v>
      </c>
      <c r="V12" s="14">
        <v>34.28</v>
      </c>
    </row>
    <row r="13" spans="1:22" x14ac:dyDescent="0.25">
      <c r="A13" s="88" t="s">
        <v>67</v>
      </c>
      <c r="B13" s="14">
        <v>0.57999999999999996</v>
      </c>
      <c r="C13" s="14">
        <v>0.84</v>
      </c>
      <c r="D13" s="14">
        <v>0.34</v>
      </c>
      <c r="E13" s="14">
        <v>0</v>
      </c>
      <c r="F13" s="14">
        <v>1.76</v>
      </c>
      <c r="I13" s="88" t="s">
        <v>67</v>
      </c>
      <c r="J13" s="134">
        <f t="shared" si="0"/>
        <v>0.32954545454545453</v>
      </c>
      <c r="K13" s="134">
        <f t="shared" si="1"/>
        <v>0.47727272727272724</v>
      </c>
      <c r="L13" s="134">
        <f t="shared" si="2"/>
        <v>0.1931818181818182</v>
      </c>
      <c r="M13" s="134">
        <f t="shared" si="3"/>
        <v>0</v>
      </c>
      <c r="N13" s="135">
        <f t="shared" si="4"/>
        <v>1</v>
      </c>
      <c r="Q13" s="88" t="s">
        <v>67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</row>
    <row r="14" spans="1:22" x14ac:dyDescent="0.25">
      <c r="A14" s="88" t="s">
        <v>75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I14" s="88" t="s">
        <v>75</v>
      </c>
      <c r="J14" s="134" t="str">
        <f t="shared" si="0"/>
        <v/>
      </c>
      <c r="K14" s="134" t="str">
        <f t="shared" si="1"/>
        <v/>
      </c>
      <c r="L14" s="134" t="str">
        <f t="shared" si="2"/>
        <v/>
      </c>
      <c r="M14" s="134" t="str">
        <f t="shared" si="3"/>
        <v/>
      </c>
      <c r="N14" s="135" t="str">
        <f t="shared" si="4"/>
        <v/>
      </c>
      <c r="Q14" s="88" t="s">
        <v>75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</row>
    <row r="15" spans="1:22" x14ac:dyDescent="0.25">
      <c r="A15" s="88" t="s">
        <v>55</v>
      </c>
      <c r="B15" s="14">
        <v>0.05</v>
      </c>
      <c r="C15" s="14">
        <v>0</v>
      </c>
      <c r="D15" s="14">
        <v>0.24</v>
      </c>
      <c r="E15" s="14">
        <v>0.2</v>
      </c>
      <c r="F15" s="14">
        <v>0.49</v>
      </c>
      <c r="I15" s="88" t="s">
        <v>55</v>
      </c>
      <c r="J15" s="134">
        <f t="shared" si="0"/>
        <v>0.10204081632653061</v>
      </c>
      <c r="K15" s="134">
        <f t="shared" si="1"/>
        <v>0</v>
      </c>
      <c r="L15" s="134">
        <f t="shared" si="2"/>
        <v>0.48979591836734693</v>
      </c>
      <c r="M15" s="134">
        <f t="shared" si="3"/>
        <v>0.40816326530612246</v>
      </c>
      <c r="N15" s="135">
        <f t="shared" si="4"/>
        <v>1</v>
      </c>
      <c r="Q15" s="88" t="s">
        <v>55</v>
      </c>
      <c r="R15" s="14">
        <v>0</v>
      </c>
      <c r="S15" s="14">
        <v>0.01</v>
      </c>
      <c r="T15" s="14">
        <v>0</v>
      </c>
      <c r="U15" s="14">
        <v>0</v>
      </c>
      <c r="V15" s="14">
        <v>0.01</v>
      </c>
    </row>
    <row r="16" spans="1:22" x14ac:dyDescent="0.25">
      <c r="A16" s="88" t="s">
        <v>80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I16" s="88" t="s">
        <v>80</v>
      </c>
      <c r="J16" s="134" t="str">
        <f t="shared" si="0"/>
        <v/>
      </c>
      <c r="K16" s="134" t="str">
        <f t="shared" si="1"/>
        <v/>
      </c>
      <c r="L16" s="134" t="str">
        <f t="shared" si="2"/>
        <v/>
      </c>
      <c r="M16" s="134" t="str">
        <f t="shared" si="3"/>
        <v/>
      </c>
      <c r="N16" s="135" t="str">
        <f t="shared" si="4"/>
        <v/>
      </c>
      <c r="Q16" s="88" t="s">
        <v>80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</row>
    <row r="17" spans="1:22" x14ac:dyDescent="0.25">
      <c r="A17" s="88" t="s">
        <v>56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I17" s="88" t="s">
        <v>56</v>
      </c>
      <c r="J17" s="134" t="str">
        <f t="shared" si="0"/>
        <v/>
      </c>
      <c r="K17" s="134" t="str">
        <f t="shared" si="1"/>
        <v/>
      </c>
      <c r="L17" s="134" t="str">
        <f t="shared" si="2"/>
        <v/>
      </c>
      <c r="M17" s="134" t="str">
        <f t="shared" si="3"/>
        <v/>
      </c>
      <c r="N17" s="135" t="str">
        <f t="shared" si="4"/>
        <v/>
      </c>
      <c r="Q17" s="88" t="s">
        <v>56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</row>
    <row r="18" spans="1:22" x14ac:dyDescent="0.25">
      <c r="A18" s="88" t="s">
        <v>57</v>
      </c>
      <c r="B18" s="14">
        <v>0.21</v>
      </c>
      <c r="C18" s="14">
        <v>0.86</v>
      </c>
      <c r="D18" s="14">
        <v>0.25</v>
      </c>
      <c r="E18" s="14">
        <v>0.92</v>
      </c>
      <c r="F18" s="14">
        <v>2.2400000000000002</v>
      </c>
      <c r="I18" s="88" t="s">
        <v>57</v>
      </c>
      <c r="J18" s="134">
        <f t="shared" si="0"/>
        <v>9.3749999999999986E-2</v>
      </c>
      <c r="K18" s="134">
        <f t="shared" si="1"/>
        <v>0.3839285714285714</v>
      </c>
      <c r="L18" s="134">
        <f t="shared" si="2"/>
        <v>0.11160714285714285</v>
      </c>
      <c r="M18" s="134">
        <f t="shared" si="3"/>
        <v>0.4107142857142857</v>
      </c>
      <c r="N18" s="135">
        <f t="shared" si="4"/>
        <v>1</v>
      </c>
      <c r="Q18" s="88" t="s">
        <v>57</v>
      </c>
      <c r="R18" s="14">
        <v>0</v>
      </c>
      <c r="S18" s="14">
        <v>0.03</v>
      </c>
      <c r="T18" s="14">
        <v>0</v>
      </c>
      <c r="U18" s="14">
        <v>0</v>
      </c>
      <c r="V18" s="14">
        <v>0.03</v>
      </c>
    </row>
    <row r="19" spans="1:22" x14ac:dyDescent="0.25">
      <c r="A19" s="88" t="s">
        <v>86</v>
      </c>
      <c r="B19" s="14">
        <v>0.02</v>
      </c>
      <c r="C19" s="14">
        <v>0.32</v>
      </c>
      <c r="D19" s="14">
        <v>0.21</v>
      </c>
      <c r="E19" s="14">
        <v>3.59</v>
      </c>
      <c r="F19" s="14">
        <v>4.1399999999999997</v>
      </c>
      <c r="I19" s="88" t="s">
        <v>86</v>
      </c>
      <c r="J19" s="134">
        <f t="shared" si="0"/>
        <v>4.8309178743961359E-3</v>
      </c>
      <c r="K19" s="134">
        <f t="shared" si="1"/>
        <v>7.7294685990338174E-2</v>
      </c>
      <c r="L19" s="134">
        <f t="shared" si="2"/>
        <v>5.0724637681159424E-2</v>
      </c>
      <c r="M19" s="134">
        <f t="shared" si="3"/>
        <v>0.86714975845410636</v>
      </c>
      <c r="N19" s="135">
        <f t="shared" si="4"/>
        <v>1</v>
      </c>
      <c r="Q19" s="88" t="s">
        <v>86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</row>
    <row r="20" spans="1:22" x14ac:dyDescent="0.25">
      <c r="A20" s="44" t="s">
        <v>59</v>
      </c>
      <c r="B20" s="45">
        <v>376.3</v>
      </c>
      <c r="C20" s="45">
        <v>815.15</v>
      </c>
      <c r="D20" s="45">
        <v>711.63</v>
      </c>
      <c r="E20" s="45">
        <v>1587.155</v>
      </c>
      <c r="F20" s="45">
        <v>3490.2349999999997</v>
      </c>
      <c r="I20" s="44" t="s">
        <v>59</v>
      </c>
      <c r="J20" s="46">
        <f t="shared" ref="J20" si="5">IFERROR(B20/$F$20,"")</f>
        <v>0.10781508981486922</v>
      </c>
      <c r="K20" s="46">
        <f t="shared" ref="K20" si="6">IFERROR(C20/$F$20,"")</f>
        <v>0.23355160898907953</v>
      </c>
      <c r="L20" s="46">
        <f t="shared" ref="L20" si="7">IFERROR(D20/$F$20,"")</f>
        <v>0.20389171502778469</v>
      </c>
      <c r="M20" s="46">
        <f t="shared" ref="M20" si="8">IFERROR(E20/$F$20,"")</f>
        <v>0.45474158616826665</v>
      </c>
      <c r="N20" s="46">
        <f t="shared" ref="N20" si="9">IFERROR(F20/$F$20,"")</f>
        <v>1</v>
      </c>
      <c r="Q20" s="60" t="s">
        <v>59</v>
      </c>
      <c r="R20" s="61">
        <v>4683.82</v>
      </c>
      <c r="S20" s="61">
        <v>1581.96</v>
      </c>
      <c r="T20" s="61">
        <v>508.19</v>
      </c>
      <c r="U20" s="61">
        <v>378.78</v>
      </c>
      <c r="V20" s="61">
        <v>7152.7499999999991</v>
      </c>
    </row>
    <row r="23" spans="1:22" ht="18.75" x14ac:dyDescent="0.3">
      <c r="A23" s="308" t="s">
        <v>111</v>
      </c>
      <c r="B23" s="308"/>
      <c r="Q23" s="260" t="s">
        <v>109</v>
      </c>
      <c r="R23" s="260"/>
    </row>
    <row r="24" spans="1:22" x14ac:dyDescent="0.25">
      <c r="A24" s="90" t="s">
        <v>94</v>
      </c>
      <c r="B24" s="90" t="s">
        <v>99</v>
      </c>
      <c r="C24" s="90" t="s">
        <v>100</v>
      </c>
      <c r="D24" s="90" t="s">
        <v>101</v>
      </c>
      <c r="E24" s="90" t="s">
        <v>102</v>
      </c>
      <c r="F24" s="90" t="s">
        <v>103</v>
      </c>
      <c r="I24" s="90" t="s">
        <v>94</v>
      </c>
      <c r="J24" s="90" t="s">
        <v>99</v>
      </c>
      <c r="K24" s="90" t="s">
        <v>100</v>
      </c>
      <c r="L24" s="90" t="s">
        <v>101</v>
      </c>
      <c r="M24" s="90" t="s">
        <v>102</v>
      </c>
      <c r="N24" s="90" t="s">
        <v>103</v>
      </c>
      <c r="O24" s="90" t="s">
        <v>115</v>
      </c>
      <c r="Q24" s="89" t="s">
        <v>94</v>
      </c>
      <c r="R24" s="89" t="s">
        <v>99</v>
      </c>
      <c r="S24" s="89" t="s">
        <v>100</v>
      </c>
      <c r="T24" s="89" t="s">
        <v>101</v>
      </c>
      <c r="U24" s="89" t="s">
        <v>102</v>
      </c>
      <c r="V24" s="89" t="s">
        <v>103</v>
      </c>
    </row>
    <row r="25" spans="1:22" x14ac:dyDescent="0.25">
      <c r="A25" s="88" t="s">
        <v>49</v>
      </c>
      <c r="B25" s="14">
        <v>0.43</v>
      </c>
      <c r="C25" s="14">
        <v>0</v>
      </c>
      <c r="D25" s="14">
        <v>0</v>
      </c>
      <c r="E25" s="14">
        <v>0.03</v>
      </c>
      <c r="F25" s="14">
        <v>0.45999999999999996</v>
      </c>
      <c r="I25" s="88" t="s">
        <v>49</v>
      </c>
      <c r="J25" s="26">
        <f t="shared" ref="J25:J41" si="10">IFERROR(B25/$F25,"")</f>
        <v>0.93478260869565222</v>
      </c>
      <c r="K25" s="26">
        <f t="shared" ref="K25:N40" si="11">IFERROR(C25/$F25,"")</f>
        <v>0</v>
      </c>
      <c r="L25" s="26">
        <f t="shared" si="11"/>
        <v>0</v>
      </c>
      <c r="M25" s="26">
        <f t="shared" si="11"/>
        <v>6.5217391304347824E-2</v>
      </c>
      <c r="N25" s="26">
        <f t="shared" si="11"/>
        <v>1</v>
      </c>
      <c r="O25" s="26">
        <f>IFERROR(F25/$F$41,"")</f>
        <v>4.32209572784327E-5</v>
      </c>
      <c r="Q25" s="88" t="s">
        <v>49</v>
      </c>
      <c r="R25" s="26">
        <f>IFERROR(R4/V4,"")</f>
        <v>1</v>
      </c>
      <c r="S25" s="26">
        <f>IFERROR(S4/V4,"")</f>
        <v>0</v>
      </c>
      <c r="T25" s="26">
        <f>IFERROR(T4/V4,"")</f>
        <v>0</v>
      </c>
      <c r="U25" s="26">
        <f>IFERROR(U4/V4,"")</f>
        <v>0</v>
      </c>
      <c r="V25" s="135">
        <f>IFERROR(V4/V4,"")</f>
        <v>1</v>
      </c>
    </row>
    <row r="26" spans="1:22" x14ac:dyDescent="0.25">
      <c r="A26" s="88" t="s">
        <v>50</v>
      </c>
      <c r="B26" s="14">
        <v>10.75</v>
      </c>
      <c r="C26" s="14">
        <v>27.33</v>
      </c>
      <c r="D26" s="14">
        <v>7.89</v>
      </c>
      <c r="E26" s="14">
        <v>7.12</v>
      </c>
      <c r="F26" s="14">
        <v>53.089999999999996</v>
      </c>
      <c r="I26" s="88" t="s">
        <v>50</v>
      </c>
      <c r="J26" s="26">
        <f t="shared" si="10"/>
        <v>0.20248634394424564</v>
      </c>
      <c r="K26" s="26">
        <f t="shared" si="11"/>
        <v>0.51478621209267283</v>
      </c>
      <c r="L26" s="26">
        <f t="shared" si="11"/>
        <v>0.14861555848559052</v>
      </c>
      <c r="M26" s="26">
        <f t="shared" si="11"/>
        <v>0.13411188547749106</v>
      </c>
      <c r="N26" s="26">
        <f t="shared" si="11"/>
        <v>1</v>
      </c>
      <c r="O26" s="26">
        <f t="shared" ref="O26:O40" si="12">IFERROR(F26/$F$41,"")</f>
        <v>4.9882622215478081E-3</v>
      </c>
      <c r="Q26" s="88" t="s">
        <v>50</v>
      </c>
      <c r="R26" s="26">
        <f t="shared" ref="R26:R41" si="13">IFERROR(R5/V5,"")</f>
        <v>0.30365769496204281</v>
      </c>
      <c r="S26" s="26">
        <f t="shared" ref="S26:S41" si="14">IFERROR(S5/V5,"")</f>
        <v>0.66597653554175296</v>
      </c>
      <c r="T26" s="26">
        <f t="shared" ref="T26:T41" si="15">IFERROR(T5/V5,"")</f>
        <v>1.6563146997929604E-2</v>
      </c>
      <c r="U26" s="26">
        <f t="shared" ref="U26:U41" si="16">IFERROR(U5/V5,"")</f>
        <v>1.3802622498274672E-2</v>
      </c>
      <c r="V26" s="135">
        <f t="shared" ref="V26:V41" si="17">IFERROR(V5/V5,"")</f>
        <v>1</v>
      </c>
    </row>
    <row r="27" spans="1:22" x14ac:dyDescent="0.25">
      <c r="A27" s="88" t="s">
        <v>63</v>
      </c>
      <c r="B27" s="14">
        <v>0.05</v>
      </c>
      <c r="C27" s="14">
        <v>0.11</v>
      </c>
      <c r="D27" s="14">
        <v>0.03</v>
      </c>
      <c r="E27" s="14">
        <v>1.72</v>
      </c>
      <c r="F27" s="14">
        <v>1.91</v>
      </c>
      <c r="I27" s="88" t="s">
        <v>63</v>
      </c>
      <c r="J27" s="26">
        <f t="shared" si="10"/>
        <v>2.6178010471204192E-2</v>
      </c>
      <c r="K27" s="26">
        <f t="shared" si="11"/>
        <v>5.759162303664922E-2</v>
      </c>
      <c r="L27" s="26">
        <f t="shared" si="11"/>
        <v>1.5706806282722512E-2</v>
      </c>
      <c r="M27" s="26">
        <f t="shared" si="11"/>
        <v>0.90052356020942415</v>
      </c>
      <c r="N27" s="26">
        <f t="shared" si="11"/>
        <v>1</v>
      </c>
      <c r="O27" s="26">
        <f t="shared" si="12"/>
        <v>1.794609313082749E-4</v>
      </c>
      <c r="Q27" s="88" t="s">
        <v>63</v>
      </c>
      <c r="R27" s="26" t="str">
        <f t="shared" si="13"/>
        <v/>
      </c>
      <c r="S27" s="26" t="str">
        <f t="shared" si="14"/>
        <v/>
      </c>
      <c r="T27" s="26" t="str">
        <f t="shared" si="15"/>
        <v/>
      </c>
      <c r="U27" s="26" t="str">
        <f t="shared" si="16"/>
        <v/>
      </c>
      <c r="V27" s="135" t="str">
        <f t="shared" si="17"/>
        <v/>
      </c>
    </row>
    <row r="28" spans="1:22" x14ac:dyDescent="0.25">
      <c r="A28" s="88" t="s">
        <v>60</v>
      </c>
      <c r="B28" s="14">
        <v>13.57</v>
      </c>
      <c r="C28" s="14">
        <v>99.31</v>
      </c>
      <c r="D28" s="14">
        <v>128.37</v>
      </c>
      <c r="E28" s="14">
        <v>193.91</v>
      </c>
      <c r="F28" s="14">
        <v>435.15999999999997</v>
      </c>
      <c r="I28" s="88" t="s">
        <v>60</v>
      </c>
      <c r="J28" s="26">
        <f t="shared" si="10"/>
        <v>3.1183932346723047E-2</v>
      </c>
      <c r="K28" s="26">
        <f t="shared" si="11"/>
        <v>0.22821490945858997</v>
      </c>
      <c r="L28" s="26">
        <f t="shared" si="11"/>
        <v>0.29499494438827101</v>
      </c>
      <c r="M28" s="26">
        <f t="shared" si="11"/>
        <v>0.44560621380641607</v>
      </c>
      <c r="N28" s="26">
        <f t="shared" si="11"/>
        <v>1</v>
      </c>
      <c r="O28" s="26">
        <f t="shared" si="12"/>
        <v>4.0887025585397328E-2</v>
      </c>
      <c r="Q28" s="88" t="s">
        <v>60</v>
      </c>
      <c r="R28" s="26">
        <f t="shared" si="13"/>
        <v>0</v>
      </c>
      <c r="S28" s="26">
        <f t="shared" si="14"/>
        <v>0.15045992115637322</v>
      </c>
      <c r="T28" s="26">
        <f t="shared" si="15"/>
        <v>0.41852825229960583</v>
      </c>
      <c r="U28" s="26">
        <f t="shared" si="16"/>
        <v>0.43101182654402104</v>
      </c>
      <c r="V28" s="135">
        <f t="shared" si="17"/>
        <v>1</v>
      </c>
    </row>
    <row r="29" spans="1:22" x14ac:dyDescent="0.25">
      <c r="A29" s="88" t="s">
        <v>53</v>
      </c>
      <c r="B29" s="14">
        <v>5.21</v>
      </c>
      <c r="C29" s="14">
        <v>0</v>
      </c>
      <c r="D29" s="14">
        <v>0.09</v>
      </c>
      <c r="E29" s="14">
        <v>0.34</v>
      </c>
      <c r="F29" s="14">
        <v>5.64</v>
      </c>
      <c r="I29" s="88" t="s">
        <v>53</v>
      </c>
      <c r="J29" s="26">
        <f t="shared" si="10"/>
        <v>0.92375886524822703</v>
      </c>
      <c r="K29" s="26">
        <f t="shared" si="11"/>
        <v>0</v>
      </c>
      <c r="L29" s="26">
        <f t="shared" si="11"/>
        <v>1.5957446808510637E-2</v>
      </c>
      <c r="M29" s="26">
        <f t="shared" si="11"/>
        <v>6.0283687943262422E-2</v>
      </c>
      <c r="N29" s="26">
        <f t="shared" si="11"/>
        <v>1</v>
      </c>
      <c r="O29" s="26">
        <f t="shared" si="12"/>
        <v>5.2992651967469651E-4</v>
      </c>
      <c r="Q29" s="88" t="s">
        <v>53</v>
      </c>
      <c r="R29" s="26">
        <f t="shared" si="13"/>
        <v>0.91145833333333337</v>
      </c>
      <c r="S29" s="26">
        <f t="shared" si="14"/>
        <v>0</v>
      </c>
      <c r="T29" s="26">
        <f t="shared" si="15"/>
        <v>0</v>
      </c>
      <c r="U29" s="26">
        <f t="shared" si="16"/>
        <v>8.8541666666666671E-2</v>
      </c>
      <c r="V29" s="135">
        <f t="shared" si="17"/>
        <v>1</v>
      </c>
    </row>
    <row r="30" spans="1:22" x14ac:dyDescent="0.25">
      <c r="A30" s="88" t="s">
        <v>52</v>
      </c>
      <c r="B30" s="14">
        <v>11.01</v>
      </c>
      <c r="C30" s="14">
        <v>2.13</v>
      </c>
      <c r="D30" s="14">
        <v>0</v>
      </c>
      <c r="E30" s="14">
        <v>0.47</v>
      </c>
      <c r="F30" s="14">
        <v>13.610000000000001</v>
      </c>
      <c r="I30" s="88" t="s">
        <v>52</v>
      </c>
      <c r="J30" s="26">
        <f t="shared" si="10"/>
        <v>0.80896399706098443</v>
      </c>
      <c r="K30" s="26">
        <f t="shared" si="11"/>
        <v>0.15650257163850109</v>
      </c>
      <c r="L30" s="26">
        <f t="shared" si="11"/>
        <v>0</v>
      </c>
      <c r="M30" s="26">
        <f t="shared" si="11"/>
        <v>3.4533431300514325E-2</v>
      </c>
      <c r="N30" s="26">
        <f t="shared" si="11"/>
        <v>1</v>
      </c>
      <c r="O30" s="26">
        <f t="shared" si="12"/>
        <v>1.2787765838249328E-3</v>
      </c>
      <c r="Q30" s="88" t="s">
        <v>52</v>
      </c>
      <c r="R30" s="26">
        <f t="shared" si="13"/>
        <v>0.96562835660580015</v>
      </c>
      <c r="S30" s="26">
        <f t="shared" si="14"/>
        <v>3.4371643394199784E-2</v>
      </c>
      <c r="T30" s="26">
        <f t="shared" si="15"/>
        <v>0</v>
      </c>
      <c r="U30" s="26">
        <f t="shared" si="16"/>
        <v>0</v>
      </c>
      <c r="V30" s="135">
        <f t="shared" si="17"/>
        <v>1</v>
      </c>
    </row>
    <row r="31" spans="1:22" x14ac:dyDescent="0.25">
      <c r="A31" s="88" t="s">
        <v>65</v>
      </c>
      <c r="B31" s="14">
        <v>0</v>
      </c>
      <c r="C31" s="14">
        <v>0</v>
      </c>
      <c r="D31" s="14">
        <v>0</v>
      </c>
      <c r="E31" s="14">
        <v>0.33</v>
      </c>
      <c r="F31" s="14">
        <v>0.33</v>
      </c>
      <c r="I31" s="88" t="s">
        <v>65</v>
      </c>
      <c r="J31" s="26">
        <f t="shared" si="10"/>
        <v>0</v>
      </c>
      <c r="K31" s="26">
        <f t="shared" si="11"/>
        <v>0</v>
      </c>
      <c r="L31" s="26">
        <f t="shared" si="11"/>
        <v>0</v>
      </c>
      <c r="M31" s="26">
        <f t="shared" si="11"/>
        <v>1</v>
      </c>
      <c r="N31" s="26">
        <f t="shared" si="11"/>
        <v>1</v>
      </c>
      <c r="O31" s="26">
        <f t="shared" si="12"/>
        <v>3.1006338917136503E-5</v>
      </c>
      <c r="Q31" s="88" t="s">
        <v>65</v>
      </c>
      <c r="R31" s="26" t="str">
        <f t="shared" si="13"/>
        <v/>
      </c>
      <c r="S31" s="26" t="str">
        <f t="shared" si="14"/>
        <v/>
      </c>
      <c r="T31" s="26" t="str">
        <f t="shared" si="15"/>
        <v/>
      </c>
      <c r="U31" s="26" t="str">
        <f t="shared" si="16"/>
        <v/>
      </c>
      <c r="V31" s="135" t="str">
        <f t="shared" si="17"/>
        <v/>
      </c>
    </row>
    <row r="32" spans="1:22" x14ac:dyDescent="0.25">
      <c r="A32" s="88" t="s">
        <v>51</v>
      </c>
      <c r="B32" s="14">
        <v>4971.91</v>
      </c>
      <c r="C32" s="14">
        <v>2264.94</v>
      </c>
      <c r="D32" s="14">
        <v>1082.1099999999999</v>
      </c>
      <c r="E32" s="14">
        <v>1757.2249999999999</v>
      </c>
      <c r="F32" s="14">
        <v>10076.185000000001</v>
      </c>
      <c r="I32" s="88" t="s">
        <v>51</v>
      </c>
      <c r="J32" s="26">
        <f t="shared" si="10"/>
        <v>0.49343178990858139</v>
      </c>
      <c r="K32" s="26">
        <f t="shared" si="11"/>
        <v>0.22478150212605263</v>
      </c>
      <c r="L32" s="26">
        <f t="shared" si="11"/>
        <v>0.1073928277418487</v>
      </c>
      <c r="M32" s="26">
        <f t="shared" si="11"/>
        <v>0.17439388022351709</v>
      </c>
      <c r="N32" s="26">
        <f t="shared" si="11"/>
        <v>1</v>
      </c>
      <c r="O32" s="26">
        <f t="shared" si="12"/>
        <v>0.94674426394474887</v>
      </c>
      <c r="Q32" s="88" t="s">
        <v>51</v>
      </c>
      <c r="R32" s="26">
        <f t="shared" si="13"/>
        <v>0.65482520487227347</v>
      </c>
      <c r="S32" s="26">
        <f t="shared" si="14"/>
        <v>0.22176946321910035</v>
      </c>
      <c r="T32" s="26">
        <f t="shared" si="15"/>
        <v>7.0872095817184899E-2</v>
      </c>
      <c r="U32" s="26">
        <f t="shared" si="16"/>
        <v>5.2533236091441157E-2</v>
      </c>
      <c r="V32" s="135">
        <f t="shared" si="17"/>
        <v>1</v>
      </c>
    </row>
    <row r="33" spans="1:22" x14ac:dyDescent="0.25">
      <c r="A33" s="88" t="s">
        <v>54</v>
      </c>
      <c r="B33" s="14">
        <v>46.33</v>
      </c>
      <c r="C33" s="14">
        <v>1.23</v>
      </c>
      <c r="D33" s="14">
        <v>0.28999999999999998</v>
      </c>
      <c r="E33" s="14">
        <v>0.08</v>
      </c>
      <c r="F33" s="14">
        <v>47.929999999999993</v>
      </c>
      <c r="I33" s="88" t="s">
        <v>54</v>
      </c>
      <c r="J33" s="26">
        <f t="shared" si="10"/>
        <v>0.96661798456081793</v>
      </c>
      <c r="K33" s="26">
        <f t="shared" si="11"/>
        <v>2.5662424368871273E-2</v>
      </c>
      <c r="L33" s="26">
        <f t="shared" si="11"/>
        <v>6.0504902983517638E-3</v>
      </c>
      <c r="M33" s="26">
        <f t="shared" si="11"/>
        <v>1.6691007719591073E-3</v>
      </c>
      <c r="N33" s="26">
        <f t="shared" si="11"/>
        <v>1</v>
      </c>
      <c r="O33" s="26">
        <f t="shared" si="12"/>
        <v>4.5034358312071284E-3</v>
      </c>
      <c r="Q33" s="88" t="s">
        <v>54</v>
      </c>
      <c r="R33" s="26">
        <f t="shared" si="13"/>
        <v>0.97782963827304559</v>
      </c>
      <c r="S33" s="26">
        <f t="shared" si="14"/>
        <v>1.7794632438739789E-2</v>
      </c>
      <c r="T33" s="26">
        <f t="shared" si="15"/>
        <v>4.3757292882147022E-3</v>
      </c>
      <c r="U33" s="26">
        <f t="shared" si="16"/>
        <v>0</v>
      </c>
      <c r="V33" s="135">
        <f t="shared" si="17"/>
        <v>1</v>
      </c>
    </row>
    <row r="34" spans="1:22" x14ac:dyDescent="0.25">
      <c r="A34" s="88" t="s">
        <v>67</v>
      </c>
      <c r="B34" s="14">
        <v>0.57999999999999996</v>
      </c>
      <c r="C34" s="14">
        <v>0.84</v>
      </c>
      <c r="D34" s="14">
        <v>0.34</v>
      </c>
      <c r="E34" s="14">
        <v>0</v>
      </c>
      <c r="F34" s="14">
        <v>1.76</v>
      </c>
      <c r="I34" s="88" t="s">
        <v>67</v>
      </c>
      <c r="J34" s="26">
        <f t="shared" si="10"/>
        <v>0.32954545454545453</v>
      </c>
      <c r="K34" s="26">
        <f t="shared" si="11"/>
        <v>0.47727272727272724</v>
      </c>
      <c r="L34" s="26">
        <f t="shared" si="11"/>
        <v>0.1931818181818182</v>
      </c>
      <c r="M34" s="26">
        <f t="shared" si="11"/>
        <v>0</v>
      </c>
      <c r="N34" s="26">
        <f t="shared" si="11"/>
        <v>1</v>
      </c>
      <c r="O34" s="26">
        <f t="shared" si="12"/>
        <v>1.6536714089139469E-4</v>
      </c>
      <c r="Q34" s="88" t="s">
        <v>67</v>
      </c>
      <c r="R34" s="26" t="str">
        <f t="shared" si="13"/>
        <v/>
      </c>
      <c r="S34" s="26" t="str">
        <f t="shared" si="14"/>
        <v/>
      </c>
      <c r="T34" s="26" t="str">
        <f t="shared" si="15"/>
        <v/>
      </c>
      <c r="U34" s="26" t="str">
        <f t="shared" si="16"/>
        <v/>
      </c>
      <c r="V34" s="135" t="str">
        <f t="shared" si="17"/>
        <v/>
      </c>
    </row>
    <row r="35" spans="1:22" x14ac:dyDescent="0.25">
      <c r="A35" s="88" t="s">
        <v>75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I35" s="88" t="s">
        <v>75</v>
      </c>
      <c r="J35" s="26" t="str">
        <f t="shared" si="10"/>
        <v/>
      </c>
      <c r="K35" s="26" t="str">
        <f t="shared" si="11"/>
        <v/>
      </c>
      <c r="L35" s="26" t="str">
        <f t="shared" si="11"/>
        <v/>
      </c>
      <c r="M35" s="26" t="str">
        <f t="shared" si="11"/>
        <v/>
      </c>
      <c r="N35" s="26" t="str">
        <f t="shared" si="11"/>
        <v/>
      </c>
      <c r="O35" s="26">
        <f t="shared" si="12"/>
        <v>0</v>
      </c>
      <c r="Q35" s="88" t="s">
        <v>75</v>
      </c>
      <c r="R35" s="26" t="str">
        <f t="shared" si="13"/>
        <v/>
      </c>
      <c r="S35" s="26" t="str">
        <f t="shared" si="14"/>
        <v/>
      </c>
      <c r="T35" s="26" t="str">
        <f t="shared" si="15"/>
        <v/>
      </c>
      <c r="U35" s="26" t="str">
        <f t="shared" si="16"/>
        <v/>
      </c>
      <c r="V35" s="135" t="str">
        <f t="shared" si="17"/>
        <v/>
      </c>
    </row>
    <row r="36" spans="1:22" x14ac:dyDescent="0.25">
      <c r="A36" s="88" t="s">
        <v>55</v>
      </c>
      <c r="B36" s="14">
        <v>0.05</v>
      </c>
      <c r="C36" s="14">
        <v>0.01</v>
      </c>
      <c r="D36" s="14">
        <v>0.24</v>
      </c>
      <c r="E36" s="14">
        <v>0.2</v>
      </c>
      <c r="F36" s="14">
        <v>0.5</v>
      </c>
      <c r="I36" s="88" t="s">
        <v>55</v>
      </c>
      <c r="J36" s="26">
        <f t="shared" si="10"/>
        <v>0.1</v>
      </c>
      <c r="K36" s="26">
        <f t="shared" si="11"/>
        <v>0.02</v>
      </c>
      <c r="L36" s="26">
        <f t="shared" si="11"/>
        <v>0.48</v>
      </c>
      <c r="M36" s="26">
        <f t="shared" si="11"/>
        <v>0.4</v>
      </c>
      <c r="N36" s="26">
        <f t="shared" si="11"/>
        <v>1</v>
      </c>
      <c r="O36" s="26">
        <f t="shared" si="12"/>
        <v>4.6979301389600761E-5</v>
      </c>
      <c r="Q36" s="88" t="s">
        <v>55</v>
      </c>
      <c r="R36" s="26">
        <f t="shared" si="13"/>
        <v>0</v>
      </c>
      <c r="S36" s="26">
        <f t="shared" si="14"/>
        <v>1</v>
      </c>
      <c r="T36" s="26">
        <f t="shared" si="15"/>
        <v>0</v>
      </c>
      <c r="U36" s="26">
        <f t="shared" si="16"/>
        <v>0</v>
      </c>
      <c r="V36" s="135">
        <f t="shared" si="17"/>
        <v>1</v>
      </c>
    </row>
    <row r="37" spans="1:22" x14ac:dyDescent="0.25">
      <c r="A37" s="88" t="s">
        <v>80</v>
      </c>
      <c r="B37" s="14">
        <v>0</v>
      </c>
      <c r="C37" s="14">
        <v>0</v>
      </c>
      <c r="D37" s="14">
        <v>0</v>
      </c>
      <c r="E37" s="14">
        <v>0</v>
      </c>
      <c r="F37" s="14">
        <v>0</v>
      </c>
      <c r="I37" s="88" t="s">
        <v>80</v>
      </c>
      <c r="J37" s="26" t="str">
        <f t="shared" si="10"/>
        <v/>
      </c>
      <c r="K37" s="26" t="str">
        <f t="shared" si="11"/>
        <v/>
      </c>
      <c r="L37" s="26" t="str">
        <f t="shared" si="11"/>
        <v/>
      </c>
      <c r="M37" s="26" t="str">
        <f t="shared" si="11"/>
        <v/>
      </c>
      <c r="N37" s="26" t="str">
        <f t="shared" si="11"/>
        <v/>
      </c>
      <c r="O37" s="26">
        <f t="shared" si="12"/>
        <v>0</v>
      </c>
      <c r="Q37" s="88" t="s">
        <v>80</v>
      </c>
      <c r="R37" s="26" t="str">
        <f t="shared" si="13"/>
        <v/>
      </c>
      <c r="S37" s="26" t="str">
        <f t="shared" si="14"/>
        <v/>
      </c>
      <c r="T37" s="26" t="str">
        <f t="shared" si="15"/>
        <v/>
      </c>
      <c r="U37" s="26" t="str">
        <f t="shared" si="16"/>
        <v/>
      </c>
      <c r="V37" s="135" t="str">
        <f t="shared" si="17"/>
        <v/>
      </c>
    </row>
    <row r="38" spans="1:22" x14ac:dyDescent="0.25">
      <c r="A38" s="88" t="s">
        <v>56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I38" s="88" t="s">
        <v>56</v>
      </c>
      <c r="J38" s="26" t="str">
        <f t="shared" si="10"/>
        <v/>
      </c>
      <c r="K38" s="26" t="str">
        <f t="shared" si="11"/>
        <v/>
      </c>
      <c r="L38" s="26" t="str">
        <f t="shared" si="11"/>
        <v/>
      </c>
      <c r="M38" s="26" t="str">
        <f t="shared" si="11"/>
        <v/>
      </c>
      <c r="N38" s="26" t="str">
        <f t="shared" si="11"/>
        <v/>
      </c>
      <c r="O38" s="26">
        <f t="shared" si="12"/>
        <v>0</v>
      </c>
      <c r="Q38" s="88" t="s">
        <v>56</v>
      </c>
      <c r="R38" s="26" t="str">
        <f t="shared" si="13"/>
        <v/>
      </c>
      <c r="S38" s="26" t="str">
        <f t="shared" si="14"/>
        <v/>
      </c>
      <c r="T38" s="26" t="str">
        <f t="shared" si="15"/>
        <v/>
      </c>
      <c r="U38" s="26" t="str">
        <f t="shared" si="16"/>
        <v/>
      </c>
      <c r="V38" s="135" t="str">
        <f t="shared" si="17"/>
        <v/>
      </c>
    </row>
    <row r="39" spans="1:22" x14ac:dyDescent="0.25">
      <c r="A39" s="88" t="s">
        <v>57</v>
      </c>
      <c r="B39" s="14">
        <v>0.21</v>
      </c>
      <c r="C39" s="14">
        <v>0.89</v>
      </c>
      <c r="D39" s="14">
        <v>0.25</v>
      </c>
      <c r="E39" s="14">
        <v>0.92</v>
      </c>
      <c r="F39" s="14">
        <v>2.27</v>
      </c>
      <c r="I39" s="88" t="s">
        <v>57</v>
      </c>
      <c r="J39" s="26">
        <f t="shared" si="10"/>
        <v>9.2511013215859028E-2</v>
      </c>
      <c r="K39" s="26">
        <f t="shared" si="11"/>
        <v>0.39207048458149779</v>
      </c>
      <c r="L39" s="26">
        <f t="shared" si="11"/>
        <v>0.11013215859030837</v>
      </c>
      <c r="M39" s="26">
        <f t="shared" si="11"/>
        <v>0.40528634361233484</v>
      </c>
      <c r="N39" s="26">
        <f t="shared" si="11"/>
        <v>1</v>
      </c>
      <c r="O39" s="26">
        <f t="shared" si="12"/>
        <v>2.1328602830878745E-4</v>
      </c>
      <c r="Q39" s="88" t="s">
        <v>57</v>
      </c>
      <c r="R39" s="26">
        <f t="shared" si="13"/>
        <v>0</v>
      </c>
      <c r="S39" s="26">
        <f t="shared" si="14"/>
        <v>1</v>
      </c>
      <c r="T39" s="26">
        <f t="shared" si="15"/>
        <v>0</v>
      </c>
      <c r="U39" s="26">
        <f t="shared" si="16"/>
        <v>0</v>
      </c>
      <c r="V39" s="135">
        <f t="shared" si="17"/>
        <v>1</v>
      </c>
    </row>
    <row r="40" spans="1:22" x14ac:dyDescent="0.25">
      <c r="A40" s="88" t="s">
        <v>86</v>
      </c>
      <c r="B40" s="14">
        <v>0.02</v>
      </c>
      <c r="C40" s="14">
        <v>0.32</v>
      </c>
      <c r="D40" s="14">
        <v>0.21</v>
      </c>
      <c r="E40" s="14">
        <v>3.59</v>
      </c>
      <c r="F40" s="14">
        <v>4.1399999999999997</v>
      </c>
      <c r="I40" s="88" t="s">
        <v>86</v>
      </c>
      <c r="J40" s="26">
        <f t="shared" si="10"/>
        <v>4.8309178743961359E-3</v>
      </c>
      <c r="K40" s="26">
        <f t="shared" si="11"/>
        <v>7.7294685990338174E-2</v>
      </c>
      <c r="L40" s="26">
        <f t="shared" si="11"/>
        <v>5.0724637681159424E-2</v>
      </c>
      <c r="M40" s="26">
        <f t="shared" si="11"/>
        <v>0.86714975845410636</v>
      </c>
      <c r="N40" s="26">
        <f t="shared" si="11"/>
        <v>1</v>
      </c>
      <c r="O40" s="26">
        <f t="shared" si="12"/>
        <v>3.889886155058943E-4</v>
      </c>
      <c r="Q40" s="88" t="s">
        <v>86</v>
      </c>
      <c r="R40" s="26" t="str">
        <f t="shared" si="13"/>
        <v/>
      </c>
      <c r="S40" s="26" t="str">
        <f t="shared" si="14"/>
        <v/>
      </c>
      <c r="T40" s="26" t="str">
        <f t="shared" si="15"/>
        <v/>
      </c>
      <c r="U40" s="26" t="str">
        <f t="shared" si="16"/>
        <v/>
      </c>
      <c r="V40" s="135" t="str">
        <f t="shared" si="17"/>
        <v/>
      </c>
    </row>
    <row r="41" spans="1:22" x14ac:dyDescent="0.25">
      <c r="A41" s="16" t="s">
        <v>59</v>
      </c>
      <c r="B41" s="17">
        <v>5060.12</v>
      </c>
      <c r="C41" s="17">
        <v>2397.11</v>
      </c>
      <c r="D41" s="17">
        <v>1219.82</v>
      </c>
      <c r="E41" s="17">
        <v>1965.9349999999999</v>
      </c>
      <c r="F41" s="17">
        <v>10642.984999999999</v>
      </c>
      <c r="I41" s="16" t="s">
        <v>59</v>
      </c>
      <c r="J41" s="25">
        <f t="shared" si="10"/>
        <v>0.47544180509509321</v>
      </c>
      <c r="K41" s="25">
        <f>IFERROR(C41/$F41,"")</f>
        <v>0.22522910630805176</v>
      </c>
      <c r="L41" s="25">
        <f>IFERROR(D41/$F41,"")</f>
        <v>0.1146125828421256</v>
      </c>
      <c r="M41" s="25">
        <f>IFERROR(E41/$F41,"")</f>
        <v>0.18471650575472953</v>
      </c>
      <c r="N41" s="25">
        <f>IFERROR(F41/$F41,"")</f>
        <v>1</v>
      </c>
      <c r="Q41" s="60" t="s">
        <v>59</v>
      </c>
      <c r="R41" s="62">
        <f t="shared" si="13"/>
        <v>0.65482786340917831</v>
      </c>
      <c r="S41" s="62">
        <f t="shared" si="14"/>
        <v>0.22116808220614453</v>
      </c>
      <c r="T41" s="62">
        <f t="shared" si="15"/>
        <v>7.1048198245430086E-2</v>
      </c>
      <c r="U41" s="62">
        <f t="shared" si="16"/>
        <v>5.2955856139247144E-2</v>
      </c>
      <c r="V41" s="62">
        <f t="shared" si="17"/>
        <v>1</v>
      </c>
    </row>
  </sheetData>
  <mergeCells count="3">
    <mergeCell ref="A2:B2"/>
    <mergeCell ref="I2:J2"/>
    <mergeCell ref="A23:B23"/>
  </mergeCells>
  <conditionalFormatting sqref="J4:M19">
    <cfRule type="colorScale" priority="2">
      <colorScale>
        <cfvo type="percentile" val="25"/>
        <cfvo type="percentile" val="50"/>
        <cfvo type="percentile" val="75"/>
        <color theme="5" tint="0.79998168889431442"/>
        <color theme="5" tint="0.59999389629810485"/>
        <color theme="5" tint="0.39997558519241921"/>
      </colorScale>
    </cfRule>
  </conditionalFormatting>
  <conditionalFormatting sqref="R25:U40">
    <cfRule type="colorScale" priority="1">
      <colorScale>
        <cfvo type="percentile" val="25"/>
        <cfvo type="percentile" val="50"/>
        <cfvo type="percentile" val="75"/>
        <color theme="9" tint="0.79998168889431442"/>
        <color theme="9" tint="0.59999389629810485"/>
        <color theme="9" tint="0.39997558519241921"/>
      </colorScale>
    </cfRule>
  </conditionalFormatting>
  <hyperlinks>
    <hyperlink ref="E1" location="INDICE!A1" display="INDIC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topLeftCell="A25" workbookViewId="0">
      <selection activeCell="N59" sqref="N59"/>
    </sheetView>
  </sheetViews>
  <sheetFormatPr baseColWidth="10" defaultRowHeight="15" x14ac:dyDescent="0.25"/>
  <cols>
    <col min="1" max="1" width="15.85546875" customWidth="1"/>
    <col min="9" max="9" width="16" customWidth="1"/>
    <col min="17" max="17" width="20.28515625" customWidth="1"/>
  </cols>
  <sheetData>
    <row r="1" spans="1:22" x14ac:dyDescent="0.25">
      <c r="D1" s="2" t="s">
        <v>0</v>
      </c>
      <c r="E1" s="176" t="s">
        <v>1</v>
      </c>
      <c r="F1" s="2" t="s">
        <v>216</v>
      </c>
      <c r="G1" t="s">
        <v>225</v>
      </c>
    </row>
    <row r="2" spans="1:22" ht="18.75" x14ac:dyDescent="0.3">
      <c r="A2" s="307" t="s">
        <v>10</v>
      </c>
      <c r="B2" s="307"/>
      <c r="I2" s="307" t="s">
        <v>10</v>
      </c>
      <c r="J2" s="307"/>
      <c r="Q2" s="260" t="s">
        <v>108</v>
      </c>
      <c r="R2" s="260"/>
    </row>
    <row r="3" spans="1:22" x14ac:dyDescent="0.25">
      <c r="A3" s="87" t="s">
        <v>94</v>
      </c>
      <c r="B3" s="87" t="s">
        <v>99</v>
      </c>
      <c r="C3" s="87" t="s">
        <v>100</v>
      </c>
      <c r="D3" s="87" t="s">
        <v>101</v>
      </c>
      <c r="E3" s="87" t="s">
        <v>102</v>
      </c>
      <c r="F3" s="87" t="s">
        <v>103</v>
      </c>
      <c r="I3" s="87" t="s">
        <v>94</v>
      </c>
      <c r="J3" s="87" t="s">
        <v>99</v>
      </c>
      <c r="K3" s="87" t="s">
        <v>100</v>
      </c>
      <c r="L3" s="87" t="s">
        <v>101</v>
      </c>
      <c r="M3" s="87" t="s">
        <v>102</v>
      </c>
      <c r="N3" s="87" t="s">
        <v>103</v>
      </c>
      <c r="Q3" s="89" t="s">
        <v>94</v>
      </c>
      <c r="R3" s="89" t="s">
        <v>99</v>
      </c>
      <c r="S3" s="89" t="s">
        <v>100</v>
      </c>
      <c r="T3" s="89" t="s">
        <v>101</v>
      </c>
      <c r="U3" s="89" t="s">
        <v>102</v>
      </c>
      <c r="V3" s="89" t="s">
        <v>103</v>
      </c>
    </row>
    <row r="4" spans="1:22" x14ac:dyDescent="0.25">
      <c r="A4" s="88" t="s">
        <v>49</v>
      </c>
      <c r="B4" s="14">
        <v>249.62</v>
      </c>
      <c r="C4" s="14">
        <v>493.69</v>
      </c>
      <c r="D4" s="14">
        <v>62.2</v>
      </c>
      <c r="E4" s="14">
        <v>170.43</v>
      </c>
      <c r="F4" s="14">
        <v>975.94</v>
      </c>
      <c r="I4" s="88" t="s">
        <v>49</v>
      </c>
      <c r="J4" s="134">
        <f>IFERROR(B4/F4,"")</f>
        <v>0.25577392052790132</v>
      </c>
      <c r="K4" s="134">
        <f>IFERROR(C4/F4,"")</f>
        <v>0.50586101604606837</v>
      </c>
      <c r="L4" s="134">
        <f>IFERROR(D4/F4,"")</f>
        <v>6.3733426235219381E-2</v>
      </c>
      <c r="M4" s="134">
        <f>IFERROR(E4/F4,"")</f>
        <v>0.1746316371908109</v>
      </c>
      <c r="N4" s="134">
        <f>IFERROR(F4/F4,"")</f>
        <v>1</v>
      </c>
      <c r="Q4" s="88" t="s">
        <v>49</v>
      </c>
      <c r="R4" s="14">
        <v>97.58</v>
      </c>
      <c r="S4" s="14">
        <v>0.22</v>
      </c>
      <c r="T4" s="14">
        <v>0</v>
      </c>
      <c r="U4" s="14">
        <v>7.61</v>
      </c>
      <c r="V4" s="14">
        <v>105.41</v>
      </c>
    </row>
    <row r="5" spans="1:22" x14ac:dyDescent="0.25">
      <c r="A5" s="88" t="s">
        <v>50</v>
      </c>
      <c r="B5" s="14">
        <v>2.79</v>
      </c>
      <c r="C5" s="14">
        <v>5.34</v>
      </c>
      <c r="D5" s="14">
        <v>0.25</v>
      </c>
      <c r="E5" s="14">
        <v>1.92</v>
      </c>
      <c r="F5" s="14">
        <v>10.299999999999999</v>
      </c>
      <c r="I5" s="88" t="s">
        <v>50</v>
      </c>
      <c r="J5" s="134">
        <f t="shared" ref="J5:J19" si="0">IFERROR(B5/F5,"")</f>
        <v>0.27087378640776705</v>
      </c>
      <c r="K5" s="134">
        <f t="shared" ref="K5:K19" si="1">IFERROR(C5/F5,"")</f>
        <v>0.51844660194174763</v>
      </c>
      <c r="L5" s="134">
        <f t="shared" ref="L5:L19" si="2">IFERROR(D5/F5,"")</f>
        <v>2.4271844660194178E-2</v>
      </c>
      <c r="M5" s="134">
        <f t="shared" ref="M5:M19" si="3">IFERROR(E5/F5,"")</f>
        <v>0.18640776699029127</v>
      </c>
      <c r="N5" s="134">
        <f t="shared" ref="N5:N19" si="4">IFERROR(F5/F5,"")</f>
        <v>1</v>
      </c>
      <c r="Q5" s="88" t="s">
        <v>50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</row>
    <row r="6" spans="1:22" x14ac:dyDescent="0.25">
      <c r="A6" s="88" t="s">
        <v>63</v>
      </c>
      <c r="B6" s="14">
        <v>0</v>
      </c>
      <c r="C6" s="14">
        <v>0</v>
      </c>
      <c r="D6" s="14">
        <v>0</v>
      </c>
      <c r="E6" s="14">
        <v>0</v>
      </c>
      <c r="F6" s="14">
        <v>0</v>
      </c>
      <c r="I6" s="88" t="s">
        <v>63</v>
      </c>
      <c r="J6" s="134" t="str">
        <f t="shared" si="0"/>
        <v/>
      </c>
      <c r="K6" s="134" t="str">
        <f t="shared" si="1"/>
        <v/>
      </c>
      <c r="L6" s="134" t="str">
        <f t="shared" si="2"/>
        <v/>
      </c>
      <c r="M6" s="134" t="str">
        <f t="shared" si="3"/>
        <v/>
      </c>
      <c r="N6" s="134" t="str">
        <f t="shared" si="4"/>
        <v/>
      </c>
      <c r="Q6" s="88" t="s">
        <v>63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</row>
    <row r="7" spans="1:22" x14ac:dyDescent="0.25">
      <c r="A7" s="88" t="s">
        <v>60</v>
      </c>
      <c r="B7" s="14">
        <v>801.86</v>
      </c>
      <c r="C7" s="14">
        <v>1775.155</v>
      </c>
      <c r="D7" s="14">
        <v>1120.5650000000001</v>
      </c>
      <c r="E7" s="14">
        <v>1390.9783333333301</v>
      </c>
      <c r="F7" s="14">
        <v>5088.5583333333298</v>
      </c>
      <c r="I7" s="88" t="s">
        <v>60</v>
      </c>
      <c r="J7" s="134">
        <f t="shared" si="0"/>
        <v>0.15758097824039891</v>
      </c>
      <c r="K7" s="134">
        <f t="shared" si="1"/>
        <v>0.34885224531506165</v>
      </c>
      <c r="L7" s="134">
        <f t="shared" si="2"/>
        <v>0.22021266665247377</v>
      </c>
      <c r="M7" s="134">
        <f t="shared" si="3"/>
        <v>0.27335410979206576</v>
      </c>
      <c r="N7" s="134">
        <f t="shared" si="4"/>
        <v>1</v>
      </c>
      <c r="Q7" s="88" t="s">
        <v>60</v>
      </c>
      <c r="R7" s="14">
        <v>17.47</v>
      </c>
      <c r="S7" s="14">
        <v>28.956666666666699</v>
      </c>
      <c r="T7" s="14">
        <v>5.9749999999999996</v>
      </c>
      <c r="U7" s="14">
        <v>11.22</v>
      </c>
      <c r="V7" s="14">
        <v>63.621666666666698</v>
      </c>
    </row>
    <row r="8" spans="1:22" x14ac:dyDescent="0.25">
      <c r="A8" s="88" t="s">
        <v>53</v>
      </c>
      <c r="B8" s="14">
        <v>0</v>
      </c>
      <c r="C8" s="14">
        <v>0</v>
      </c>
      <c r="D8" s="14">
        <v>0</v>
      </c>
      <c r="E8" s="14">
        <v>0</v>
      </c>
      <c r="F8" s="14">
        <v>0</v>
      </c>
      <c r="I8" s="88" t="s">
        <v>53</v>
      </c>
      <c r="J8" s="134" t="str">
        <f t="shared" si="0"/>
        <v/>
      </c>
      <c r="K8" s="134" t="str">
        <f t="shared" si="1"/>
        <v/>
      </c>
      <c r="L8" s="134" t="str">
        <f t="shared" si="2"/>
        <v/>
      </c>
      <c r="M8" s="134" t="str">
        <f t="shared" si="3"/>
        <v/>
      </c>
      <c r="N8" s="134" t="str">
        <f t="shared" si="4"/>
        <v/>
      </c>
      <c r="Q8" s="88" t="s">
        <v>53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</row>
    <row r="9" spans="1:22" x14ac:dyDescent="0.25">
      <c r="A9" s="88" t="s">
        <v>52</v>
      </c>
      <c r="B9" s="14">
        <v>7.65</v>
      </c>
      <c r="C9" s="14">
        <v>1.42</v>
      </c>
      <c r="D9" s="14">
        <v>0</v>
      </c>
      <c r="E9" s="14">
        <v>0</v>
      </c>
      <c r="F9" s="14">
        <v>9.07</v>
      </c>
      <c r="I9" s="88" t="s">
        <v>52</v>
      </c>
      <c r="J9" s="134">
        <f t="shared" si="0"/>
        <v>0.8434399117971334</v>
      </c>
      <c r="K9" s="134">
        <f t="shared" si="1"/>
        <v>0.15656008820286657</v>
      </c>
      <c r="L9" s="134">
        <f t="shared" si="2"/>
        <v>0</v>
      </c>
      <c r="M9" s="134">
        <f t="shared" si="3"/>
        <v>0</v>
      </c>
      <c r="N9" s="134">
        <f t="shared" si="4"/>
        <v>1</v>
      </c>
      <c r="Q9" s="88" t="s">
        <v>52</v>
      </c>
      <c r="R9" s="14">
        <v>0.05</v>
      </c>
      <c r="S9" s="14">
        <v>0.44</v>
      </c>
      <c r="T9" s="14">
        <v>0</v>
      </c>
      <c r="U9" s="14">
        <v>0</v>
      </c>
      <c r="V9" s="14">
        <v>0.49</v>
      </c>
    </row>
    <row r="10" spans="1:22" x14ac:dyDescent="0.25">
      <c r="A10" s="88" t="s">
        <v>65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I10" s="88" t="s">
        <v>65</v>
      </c>
      <c r="J10" s="134" t="str">
        <f t="shared" si="0"/>
        <v/>
      </c>
      <c r="K10" s="134" t="str">
        <f t="shared" si="1"/>
        <v/>
      </c>
      <c r="L10" s="134" t="str">
        <f t="shared" si="2"/>
        <v/>
      </c>
      <c r="M10" s="134" t="str">
        <f t="shared" si="3"/>
        <v/>
      </c>
      <c r="N10" s="134" t="str">
        <f t="shared" si="4"/>
        <v/>
      </c>
      <c r="Q10" s="88" t="s">
        <v>65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</row>
    <row r="11" spans="1:22" x14ac:dyDescent="0.25">
      <c r="A11" s="88" t="s">
        <v>51</v>
      </c>
      <c r="B11" s="14">
        <v>978.15</v>
      </c>
      <c r="C11" s="14">
        <v>1277.77</v>
      </c>
      <c r="D11" s="14">
        <v>771.49</v>
      </c>
      <c r="E11" s="14">
        <v>748.21500000000003</v>
      </c>
      <c r="F11" s="14">
        <v>3775.625</v>
      </c>
      <c r="I11" s="88" t="s">
        <v>51</v>
      </c>
      <c r="J11" s="134">
        <f t="shared" si="0"/>
        <v>0.25906969044860123</v>
      </c>
      <c r="K11" s="134">
        <f t="shared" si="1"/>
        <v>0.33842608839596094</v>
      </c>
      <c r="L11" s="134">
        <f t="shared" si="2"/>
        <v>0.20433438172488</v>
      </c>
      <c r="M11" s="134">
        <f t="shared" si="3"/>
        <v>0.19816983943055785</v>
      </c>
      <c r="N11" s="134">
        <f t="shared" si="4"/>
        <v>1</v>
      </c>
      <c r="Q11" s="88" t="s">
        <v>51</v>
      </c>
      <c r="R11" s="14">
        <v>251.24</v>
      </c>
      <c r="S11" s="14">
        <v>85.37</v>
      </c>
      <c r="T11" s="14">
        <v>31.69</v>
      </c>
      <c r="U11" s="14">
        <v>48.933333333333302</v>
      </c>
      <c r="V11" s="14">
        <v>417.23333333333329</v>
      </c>
    </row>
    <row r="12" spans="1:22" x14ac:dyDescent="0.25">
      <c r="A12" s="88" t="s">
        <v>54</v>
      </c>
      <c r="B12" s="14">
        <v>0.46</v>
      </c>
      <c r="C12" s="14">
        <v>0.38</v>
      </c>
      <c r="D12" s="14">
        <v>2.82</v>
      </c>
      <c r="E12" s="14">
        <v>0</v>
      </c>
      <c r="F12" s="14">
        <v>3.66</v>
      </c>
      <c r="I12" s="88" t="s">
        <v>54</v>
      </c>
      <c r="J12" s="134">
        <f t="shared" si="0"/>
        <v>0.12568306010928962</v>
      </c>
      <c r="K12" s="134">
        <f t="shared" si="1"/>
        <v>0.10382513661202185</v>
      </c>
      <c r="L12" s="134">
        <f t="shared" si="2"/>
        <v>0.77049180327868849</v>
      </c>
      <c r="M12" s="134">
        <f t="shared" si="3"/>
        <v>0</v>
      </c>
      <c r="N12" s="134">
        <f t="shared" si="4"/>
        <v>1</v>
      </c>
      <c r="Q12" s="88" t="s">
        <v>54</v>
      </c>
      <c r="R12" s="14">
        <v>0.03</v>
      </c>
      <c r="S12" s="14">
        <v>0.04</v>
      </c>
      <c r="T12" s="14">
        <v>0</v>
      </c>
      <c r="U12" s="14">
        <v>0</v>
      </c>
      <c r="V12" s="14">
        <v>7.0000000000000007E-2</v>
      </c>
    </row>
    <row r="13" spans="1:22" x14ac:dyDescent="0.25">
      <c r="A13" s="88" t="s">
        <v>67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I13" s="88" t="s">
        <v>67</v>
      </c>
      <c r="J13" s="134" t="str">
        <f t="shared" si="0"/>
        <v/>
      </c>
      <c r="K13" s="134" t="str">
        <f t="shared" si="1"/>
        <v/>
      </c>
      <c r="L13" s="134" t="str">
        <f t="shared" si="2"/>
        <v/>
      </c>
      <c r="M13" s="134" t="str">
        <f t="shared" si="3"/>
        <v/>
      </c>
      <c r="N13" s="134" t="str">
        <f t="shared" si="4"/>
        <v/>
      </c>
      <c r="Q13" s="88" t="s">
        <v>67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</row>
    <row r="14" spans="1:22" x14ac:dyDescent="0.25">
      <c r="A14" s="88" t="s">
        <v>75</v>
      </c>
      <c r="B14" s="14">
        <v>983.11208333333298</v>
      </c>
      <c r="C14" s="14">
        <v>641.70749999999998</v>
      </c>
      <c r="D14" s="14">
        <v>264.32499999999999</v>
      </c>
      <c r="E14" s="14">
        <v>236.51933333333301</v>
      </c>
      <c r="F14" s="14">
        <v>2125.663916666666</v>
      </c>
      <c r="I14" s="88" t="s">
        <v>75</v>
      </c>
      <c r="J14" s="134">
        <f t="shared" si="0"/>
        <v>0.46249648198149229</v>
      </c>
      <c r="K14" s="134">
        <f t="shared" si="1"/>
        <v>0.30188568144219419</v>
      </c>
      <c r="L14" s="134">
        <f t="shared" si="2"/>
        <v>0.12434938464519736</v>
      </c>
      <c r="M14" s="134">
        <f t="shared" si="3"/>
        <v>0.11126845193111615</v>
      </c>
      <c r="N14" s="134">
        <f t="shared" si="4"/>
        <v>1</v>
      </c>
      <c r="Q14" s="88" t="s">
        <v>75</v>
      </c>
      <c r="R14" s="14">
        <v>14.1</v>
      </c>
      <c r="S14" s="14">
        <v>4.63</v>
      </c>
      <c r="T14" s="14">
        <v>0</v>
      </c>
      <c r="U14" s="14">
        <v>0.02</v>
      </c>
      <c r="V14" s="14">
        <v>18.75</v>
      </c>
    </row>
    <row r="15" spans="1:22" x14ac:dyDescent="0.25">
      <c r="A15" s="88" t="s">
        <v>55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I15" s="88" t="s">
        <v>55</v>
      </c>
      <c r="J15" s="134" t="str">
        <f t="shared" si="0"/>
        <v/>
      </c>
      <c r="K15" s="134" t="str">
        <f t="shared" si="1"/>
        <v/>
      </c>
      <c r="L15" s="134" t="str">
        <f t="shared" si="2"/>
        <v/>
      </c>
      <c r="M15" s="134" t="str">
        <f t="shared" si="3"/>
        <v/>
      </c>
      <c r="N15" s="134" t="str">
        <f t="shared" si="4"/>
        <v/>
      </c>
      <c r="Q15" s="88" t="s">
        <v>55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</row>
    <row r="16" spans="1:22" x14ac:dyDescent="0.25">
      <c r="A16" s="88" t="s">
        <v>80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I16" s="88" t="s">
        <v>80</v>
      </c>
      <c r="J16" s="134" t="str">
        <f t="shared" si="0"/>
        <v/>
      </c>
      <c r="K16" s="134" t="str">
        <f t="shared" si="1"/>
        <v/>
      </c>
      <c r="L16" s="134" t="str">
        <f t="shared" si="2"/>
        <v/>
      </c>
      <c r="M16" s="134" t="str">
        <f t="shared" si="3"/>
        <v/>
      </c>
      <c r="N16" s="134" t="str">
        <f t="shared" si="4"/>
        <v/>
      </c>
      <c r="Q16" s="88" t="s">
        <v>80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</row>
    <row r="17" spans="1:22" x14ac:dyDescent="0.25">
      <c r="A17" s="88" t="s">
        <v>56</v>
      </c>
      <c r="B17" s="14">
        <v>289.08499999999998</v>
      </c>
      <c r="C17" s="14">
        <v>292.29000000000002</v>
      </c>
      <c r="D17" s="14">
        <v>80.7</v>
      </c>
      <c r="E17" s="14">
        <v>51.39</v>
      </c>
      <c r="F17" s="14">
        <v>713.46500000000003</v>
      </c>
      <c r="I17" s="88" t="s">
        <v>56</v>
      </c>
      <c r="J17" s="134">
        <f t="shared" si="0"/>
        <v>0.40518455705605738</v>
      </c>
      <c r="K17" s="134">
        <f t="shared" si="1"/>
        <v>0.40967671854961352</v>
      </c>
      <c r="L17" s="134">
        <f t="shared" si="2"/>
        <v>0.11310996334788673</v>
      </c>
      <c r="M17" s="134">
        <f t="shared" si="3"/>
        <v>7.2028761046442361E-2</v>
      </c>
      <c r="N17" s="134">
        <f t="shared" si="4"/>
        <v>1</v>
      </c>
      <c r="Q17" s="88" t="s">
        <v>56</v>
      </c>
      <c r="R17" s="14">
        <v>50.08</v>
      </c>
      <c r="S17" s="14">
        <v>21.41</v>
      </c>
      <c r="T17" s="14">
        <v>2.99</v>
      </c>
      <c r="U17" s="14">
        <v>0.14000000000000001</v>
      </c>
      <c r="V17" s="14">
        <v>74.61999999999999</v>
      </c>
    </row>
    <row r="18" spans="1:22" x14ac:dyDescent="0.25">
      <c r="A18" s="88" t="s">
        <v>57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I18" s="88" t="s">
        <v>57</v>
      </c>
      <c r="J18" s="134" t="str">
        <f t="shared" si="0"/>
        <v/>
      </c>
      <c r="K18" s="134" t="str">
        <f t="shared" si="1"/>
        <v/>
      </c>
      <c r="L18" s="134" t="str">
        <f t="shared" si="2"/>
        <v/>
      </c>
      <c r="M18" s="134" t="str">
        <f t="shared" si="3"/>
        <v/>
      </c>
      <c r="N18" s="134" t="str">
        <f t="shared" si="4"/>
        <v/>
      </c>
      <c r="Q18" s="88" t="s">
        <v>57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</row>
    <row r="19" spans="1:22" x14ac:dyDescent="0.25">
      <c r="A19" s="88" t="s">
        <v>86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I19" s="88" t="s">
        <v>86</v>
      </c>
      <c r="J19" s="134" t="str">
        <f t="shared" si="0"/>
        <v/>
      </c>
      <c r="K19" s="134" t="str">
        <f t="shared" si="1"/>
        <v/>
      </c>
      <c r="L19" s="134" t="str">
        <f t="shared" si="2"/>
        <v/>
      </c>
      <c r="M19" s="134" t="str">
        <f t="shared" si="3"/>
        <v/>
      </c>
      <c r="N19" s="134" t="str">
        <f t="shared" si="4"/>
        <v/>
      </c>
      <c r="Q19" s="88" t="s">
        <v>86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</row>
    <row r="20" spans="1:22" x14ac:dyDescent="0.25">
      <c r="A20" s="44" t="s">
        <v>59</v>
      </c>
      <c r="B20" s="45">
        <v>3312.72708333333</v>
      </c>
      <c r="C20" s="45">
        <v>4487.7524999999996</v>
      </c>
      <c r="D20" s="45">
        <v>2302.35</v>
      </c>
      <c r="E20" s="45">
        <v>2599.4526666666702</v>
      </c>
      <c r="F20" s="45">
        <v>12702.28225</v>
      </c>
      <c r="I20" s="44" t="s">
        <v>59</v>
      </c>
      <c r="J20" s="261">
        <f t="shared" ref="J20" si="5">IFERROR(B20/F20,"")</f>
        <v>0.26079778563677641</v>
      </c>
      <c r="K20" s="261">
        <f t="shared" ref="K20" si="6">IFERROR(C20/F20,"")</f>
        <v>0.35330284839167381</v>
      </c>
      <c r="L20" s="261">
        <f t="shared" ref="L20" si="7">IFERROR(D20/F20,"")</f>
        <v>0.18125482922566927</v>
      </c>
      <c r="M20" s="261">
        <f t="shared" ref="M20" si="8">IFERROR(E20/F20,"")</f>
        <v>0.20464453674588046</v>
      </c>
      <c r="N20" s="261">
        <f t="shared" ref="N20" si="9">IFERROR(F20/F20,"")</f>
        <v>1</v>
      </c>
      <c r="Q20" s="60" t="s">
        <v>59</v>
      </c>
      <c r="R20" s="61">
        <v>430.55</v>
      </c>
      <c r="S20" s="61">
        <v>141.066666666667</v>
      </c>
      <c r="T20" s="61">
        <v>40.655000000000001</v>
      </c>
      <c r="U20" s="61">
        <v>67.923333333333304</v>
      </c>
      <c r="V20" s="61">
        <v>680.19500000000028</v>
      </c>
    </row>
    <row r="23" spans="1:22" ht="18.75" x14ac:dyDescent="0.3">
      <c r="A23" s="308" t="s">
        <v>112</v>
      </c>
      <c r="B23" s="308"/>
      <c r="Q23" s="260" t="s">
        <v>108</v>
      </c>
      <c r="R23" s="260"/>
    </row>
    <row r="24" spans="1:22" x14ac:dyDescent="0.25">
      <c r="A24" s="90" t="s">
        <v>94</v>
      </c>
      <c r="B24" s="90" t="s">
        <v>99</v>
      </c>
      <c r="C24" s="90" t="s">
        <v>100</v>
      </c>
      <c r="D24" s="90" t="s">
        <v>101</v>
      </c>
      <c r="E24" s="90" t="s">
        <v>102</v>
      </c>
      <c r="F24" s="90" t="s">
        <v>103</v>
      </c>
      <c r="I24" s="90" t="s">
        <v>94</v>
      </c>
      <c r="J24" s="90" t="s">
        <v>99</v>
      </c>
      <c r="K24" s="90" t="s">
        <v>100</v>
      </c>
      <c r="L24" s="90" t="s">
        <v>101</v>
      </c>
      <c r="M24" s="90" t="s">
        <v>102</v>
      </c>
      <c r="N24" s="90" t="s">
        <v>103</v>
      </c>
      <c r="O24" s="90" t="s">
        <v>115</v>
      </c>
      <c r="Q24" s="89" t="s">
        <v>94</v>
      </c>
      <c r="R24" s="89" t="s">
        <v>99</v>
      </c>
      <c r="S24" s="89" t="s">
        <v>100</v>
      </c>
      <c r="T24" s="89" t="s">
        <v>101</v>
      </c>
      <c r="U24" s="89" t="s">
        <v>102</v>
      </c>
      <c r="V24" s="89" t="s">
        <v>103</v>
      </c>
    </row>
    <row r="25" spans="1:22" x14ac:dyDescent="0.25">
      <c r="A25" s="88" t="s">
        <v>49</v>
      </c>
      <c r="B25" s="14">
        <v>347.2</v>
      </c>
      <c r="C25" s="14">
        <v>493.91</v>
      </c>
      <c r="D25" s="14">
        <v>62.2</v>
      </c>
      <c r="E25" s="14">
        <v>178.04</v>
      </c>
      <c r="F25" s="14">
        <v>1081.3500000000001</v>
      </c>
      <c r="I25" s="88" t="s">
        <v>49</v>
      </c>
      <c r="J25" s="26">
        <f t="shared" ref="J25:J41" si="10">IFERROR(B25/$F25,"")</f>
        <v>0.32108013131733476</v>
      </c>
      <c r="K25" s="26">
        <f t="shared" ref="K25:N40" si="11">IFERROR(C25/$F25,"")</f>
        <v>0.45675313265825124</v>
      </c>
      <c r="L25" s="26">
        <f t="shared" si="11"/>
        <v>5.7520691727932671E-2</v>
      </c>
      <c r="M25" s="26">
        <f t="shared" si="11"/>
        <v>0.16464604429648122</v>
      </c>
      <c r="N25" s="26">
        <f t="shared" si="11"/>
        <v>1</v>
      </c>
      <c r="O25" s="26">
        <f>IFERROR(F25/$F$41,"")</f>
        <v>8.0803425240270829E-2</v>
      </c>
      <c r="Q25" s="88" t="s">
        <v>49</v>
      </c>
      <c r="R25" s="26">
        <f>IFERROR(R4/V4,"")</f>
        <v>0.92571862252158243</v>
      </c>
      <c r="S25" s="26">
        <f>IFERROR(S4/V4,"")</f>
        <v>2.0870885115264206E-3</v>
      </c>
      <c r="T25" s="26">
        <f>IFERROR(T4/V4,"")</f>
        <v>0</v>
      </c>
      <c r="U25" s="26">
        <f>IFERROR(U4/V4,"")</f>
        <v>7.2194288966891187E-2</v>
      </c>
      <c r="V25" s="135">
        <f>IFERROR(V4/V4,"")</f>
        <v>1</v>
      </c>
    </row>
    <row r="26" spans="1:22" x14ac:dyDescent="0.25">
      <c r="A26" s="88" t="s">
        <v>50</v>
      </c>
      <c r="B26" s="14">
        <v>2.79</v>
      </c>
      <c r="C26" s="14">
        <v>5.34</v>
      </c>
      <c r="D26" s="14">
        <v>0.25</v>
      </c>
      <c r="E26" s="14">
        <v>1.92</v>
      </c>
      <c r="F26" s="14">
        <v>10.299999999999999</v>
      </c>
      <c r="I26" s="88" t="s">
        <v>50</v>
      </c>
      <c r="J26" s="26">
        <f t="shared" si="10"/>
        <v>0.27087378640776705</v>
      </c>
      <c r="K26" s="26">
        <f t="shared" si="11"/>
        <v>0.51844660194174763</v>
      </c>
      <c r="L26" s="26">
        <f t="shared" si="11"/>
        <v>2.4271844660194178E-2</v>
      </c>
      <c r="M26" s="26">
        <f t="shared" si="11"/>
        <v>0.18640776699029127</v>
      </c>
      <c r="N26" s="26">
        <f t="shared" si="11"/>
        <v>1</v>
      </c>
      <c r="O26" s="26">
        <f t="shared" ref="O26:O40" si="12">IFERROR(F26/$F$41,"")</f>
        <v>7.6966318026059027E-4</v>
      </c>
      <c r="Q26" s="88" t="s">
        <v>50</v>
      </c>
      <c r="R26" s="26" t="str">
        <f t="shared" ref="R26:R41" si="13">IFERROR(R5/V5,"")</f>
        <v/>
      </c>
      <c r="S26" s="26" t="str">
        <f t="shared" ref="S26:S41" si="14">IFERROR(S5/V5,"")</f>
        <v/>
      </c>
      <c r="T26" s="26" t="str">
        <f t="shared" ref="T26:T41" si="15">IFERROR(T5/V5,"")</f>
        <v/>
      </c>
      <c r="U26" s="26" t="str">
        <f t="shared" ref="U26:U41" si="16">IFERROR(U5/V5,"")</f>
        <v/>
      </c>
      <c r="V26" s="135" t="str">
        <f t="shared" ref="V26:V41" si="17">IFERROR(V5/V5,"")</f>
        <v/>
      </c>
    </row>
    <row r="27" spans="1:22" x14ac:dyDescent="0.25">
      <c r="A27" s="88" t="s">
        <v>63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I27" s="88" t="s">
        <v>63</v>
      </c>
      <c r="J27" s="26" t="str">
        <f t="shared" si="10"/>
        <v/>
      </c>
      <c r="K27" s="26" t="str">
        <f t="shared" si="11"/>
        <v/>
      </c>
      <c r="L27" s="26" t="str">
        <f t="shared" si="11"/>
        <v/>
      </c>
      <c r="M27" s="26" t="str">
        <f t="shared" si="11"/>
        <v/>
      </c>
      <c r="N27" s="26" t="str">
        <f t="shared" si="11"/>
        <v/>
      </c>
      <c r="O27" s="26">
        <f t="shared" si="12"/>
        <v>0</v>
      </c>
      <c r="Q27" s="88" t="s">
        <v>63</v>
      </c>
      <c r="R27" s="26" t="str">
        <f t="shared" si="13"/>
        <v/>
      </c>
      <c r="S27" s="26" t="str">
        <f t="shared" si="14"/>
        <v/>
      </c>
      <c r="T27" s="26" t="str">
        <f t="shared" si="15"/>
        <v/>
      </c>
      <c r="U27" s="26" t="str">
        <f t="shared" si="16"/>
        <v/>
      </c>
      <c r="V27" s="135" t="str">
        <f t="shared" si="17"/>
        <v/>
      </c>
    </row>
    <row r="28" spans="1:22" x14ac:dyDescent="0.25">
      <c r="A28" s="88" t="s">
        <v>60</v>
      </c>
      <c r="B28" s="14">
        <v>819.33</v>
      </c>
      <c r="C28" s="14">
        <v>1804.1116666666701</v>
      </c>
      <c r="D28" s="14">
        <v>1126.54</v>
      </c>
      <c r="E28" s="14">
        <v>1402.1983333333301</v>
      </c>
      <c r="F28" s="14">
        <v>5152.18</v>
      </c>
      <c r="I28" s="88" t="s">
        <v>60</v>
      </c>
      <c r="J28" s="26">
        <f t="shared" si="10"/>
        <v>0.15902588807068077</v>
      </c>
      <c r="K28" s="26">
        <f t="shared" si="11"/>
        <v>0.35016471991791243</v>
      </c>
      <c r="L28" s="26">
        <f t="shared" si="11"/>
        <v>0.21865307500902528</v>
      </c>
      <c r="M28" s="26">
        <f t="shared" si="11"/>
        <v>0.27215631700238152</v>
      </c>
      <c r="N28" s="26">
        <f t="shared" si="11"/>
        <v>1</v>
      </c>
      <c r="O28" s="26">
        <f t="shared" si="12"/>
        <v>0.38499448971602029</v>
      </c>
      <c r="Q28" s="88" t="s">
        <v>60</v>
      </c>
      <c r="R28" s="26">
        <f t="shared" si="13"/>
        <v>0.27459198910224492</v>
      </c>
      <c r="S28" s="26">
        <f t="shared" si="14"/>
        <v>0.45513844864171038</v>
      </c>
      <c r="T28" s="26">
        <f t="shared" si="15"/>
        <v>9.3914546931076884E-2</v>
      </c>
      <c r="U28" s="26">
        <f t="shared" si="16"/>
        <v>0.17635501532496783</v>
      </c>
      <c r="V28" s="135">
        <f t="shared" si="17"/>
        <v>1</v>
      </c>
    </row>
    <row r="29" spans="1:22" x14ac:dyDescent="0.25">
      <c r="A29" s="88" t="s">
        <v>53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I29" s="88" t="s">
        <v>53</v>
      </c>
      <c r="J29" s="26" t="str">
        <f t="shared" si="10"/>
        <v/>
      </c>
      <c r="K29" s="26" t="str">
        <f t="shared" si="11"/>
        <v/>
      </c>
      <c r="L29" s="26" t="str">
        <f t="shared" si="11"/>
        <v/>
      </c>
      <c r="M29" s="26" t="str">
        <f t="shared" si="11"/>
        <v/>
      </c>
      <c r="N29" s="26" t="str">
        <f t="shared" si="11"/>
        <v/>
      </c>
      <c r="O29" s="26">
        <f t="shared" si="12"/>
        <v>0</v>
      </c>
      <c r="Q29" s="88" t="s">
        <v>53</v>
      </c>
      <c r="R29" s="26" t="str">
        <f t="shared" si="13"/>
        <v/>
      </c>
      <c r="S29" s="26" t="str">
        <f t="shared" si="14"/>
        <v/>
      </c>
      <c r="T29" s="26" t="str">
        <f t="shared" si="15"/>
        <v/>
      </c>
      <c r="U29" s="26" t="str">
        <f t="shared" si="16"/>
        <v/>
      </c>
      <c r="V29" s="135" t="str">
        <f t="shared" si="17"/>
        <v/>
      </c>
    </row>
    <row r="30" spans="1:22" x14ac:dyDescent="0.25">
      <c r="A30" s="88" t="s">
        <v>52</v>
      </c>
      <c r="B30" s="14">
        <v>7.7</v>
      </c>
      <c r="C30" s="14">
        <v>1.86</v>
      </c>
      <c r="D30" s="14">
        <v>0</v>
      </c>
      <c r="E30" s="14">
        <v>0</v>
      </c>
      <c r="F30" s="14">
        <v>9.56</v>
      </c>
      <c r="I30" s="88" t="s">
        <v>52</v>
      </c>
      <c r="J30" s="26">
        <f t="shared" si="10"/>
        <v>0.80543933054393302</v>
      </c>
      <c r="K30" s="26">
        <f t="shared" si="11"/>
        <v>0.19456066945606695</v>
      </c>
      <c r="L30" s="26">
        <f t="shared" si="11"/>
        <v>0</v>
      </c>
      <c r="M30" s="26">
        <f t="shared" si="11"/>
        <v>0</v>
      </c>
      <c r="N30" s="26">
        <f t="shared" si="11"/>
        <v>1</v>
      </c>
      <c r="O30" s="26">
        <f t="shared" si="12"/>
        <v>7.1436699061080044E-4</v>
      </c>
      <c r="Q30" s="88" t="s">
        <v>52</v>
      </c>
      <c r="R30" s="26">
        <f t="shared" si="13"/>
        <v>0.10204081632653061</v>
      </c>
      <c r="S30" s="26">
        <f t="shared" si="14"/>
        <v>0.89795918367346939</v>
      </c>
      <c r="T30" s="26">
        <f t="shared" si="15"/>
        <v>0</v>
      </c>
      <c r="U30" s="26">
        <f t="shared" si="16"/>
        <v>0</v>
      </c>
      <c r="V30" s="135">
        <f t="shared" si="17"/>
        <v>1</v>
      </c>
    </row>
    <row r="31" spans="1:22" x14ac:dyDescent="0.25">
      <c r="A31" s="88" t="s">
        <v>65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I31" s="88" t="s">
        <v>65</v>
      </c>
      <c r="J31" s="26" t="str">
        <f t="shared" si="10"/>
        <v/>
      </c>
      <c r="K31" s="26" t="str">
        <f t="shared" si="11"/>
        <v/>
      </c>
      <c r="L31" s="26" t="str">
        <f t="shared" si="11"/>
        <v/>
      </c>
      <c r="M31" s="26" t="str">
        <f t="shared" si="11"/>
        <v/>
      </c>
      <c r="N31" s="26" t="str">
        <f t="shared" si="11"/>
        <v/>
      </c>
      <c r="O31" s="26">
        <f t="shared" si="12"/>
        <v>0</v>
      </c>
      <c r="Q31" s="88" t="s">
        <v>65</v>
      </c>
      <c r="R31" s="26" t="str">
        <f t="shared" si="13"/>
        <v/>
      </c>
      <c r="S31" s="26" t="str">
        <f t="shared" si="14"/>
        <v/>
      </c>
      <c r="T31" s="26" t="str">
        <f t="shared" si="15"/>
        <v/>
      </c>
      <c r="U31" s="26" t="str">
        <f t="shared" si="16"/>
        <v/>
      </c>
      <c r="V31" s="135" t="str">
        <f t="shared" si="17"/>
        <v/>
      </c>
    </row>
    <row r="32" spans="1:22" x14ac:dyDescent="0.25">
      <c r="A32" s="88" t="s">
        <v>51</v>
      </c>
      <c r="B32" s="14">
        <v>1229.3900000000001</v>
      </c>
      <c r="C32" s="14">
        <v>1363.14</v>
      </c>
      <c r="D32" s="14">
        <v>803.18</v>
      </c>
      <c r="E32" s="14">
        <v>797.14833333333399</v>
      </c>
      <c r="F32" s="14">
        <v>4192.8583333333336</v>
      </c>
      <c r="I32" s="88" t="s">
        <v>51</v>
      </c>
      <c r="J32" s="26">
        <f t="shared" si="10"/>
        <v>0.29321047892944951</v>
      </c>
      <c r="K32" s="26">
        <f t="shared" si="11"/>
        <v>0.32510995879898957</v>
      </c>
      <c r="L32" s="26">
        <f t="shared" si="11"/>
        <v>0.19155905975040891</v>
      </c>
      <c r="M32" s="26">
        <f t="shared" si="11"/>
        <v>0.19012050252115217</v>
      </c>
      <c r="N32" s="26">
        <f t="shared" si="11"/>
        <v>1</v>
      </c>
      <c r="O32" s="26">
        <f t="shared" si="12"/>
        <v>0.3133095805063546</v>
      </c>
      <c r="Q32" s="88" t="s">
        <v>51</v>
      </c>
      <c r="R32" s="26">
        <f t="shared" si="13"/>
        <v>0.60215706638971012</v>
      </c>
      <c r="S32" s="26">
        <f t="shared" si="14"/>
        <v>0.20460973076615804</v>
      </c>
      <c r="T32" s="26">
        <f t="shared" si="15"/>
        <v>7.5952704322121922E-2</v>
      </c>
      <c r="U32" s="26">
        <f t="shared" si="16"/>
        <v>0.11728049852201</v>
      </c>
      <c r="V32" s="135">
        <f t="shared" si="17"/>
        <v>1</v>
      </c>
    </row>
    <row r="33" spans="1:22" x14ac:dyDescent="0.25">
      <c r="A33" s="88" t="s">
        <v>54</v>
      </c>
      <c r="B33" s="14">
        <v>0.49</v>
      </c>
      <c r="C33" s="14">
        <v>0.42</v>
      </c>
      <c r="D33" s="14">
        <v>2.82</v>
      </c>
      <c r="E33" s="14">
        <v>0</v>
      </c>
      <c r="F33" s="14">
        <v>3.7299999999999995</v>
      </c>
      <c r="I33" s="88" t="s">
        <v>54</v>
      </c>
      <c r="J33" s="26">
        <f t="shared" si="10"/>
        <v>0.13136729222520108</v>
      </c>
      <c r="K33" s="26">
        <f t="shared" si="11"/>
        <v>0.1126005361930295</v>
      </c>
      <c r="L33" s="26">
        <f t="shared" si="11"/>
        <v>0.7560321715817695</v>
      </c>
      <c r="M33" s="26">
        <f t="shared" si="11"/>
        <v>0</v>
      </c>
      <c r="N33" s="26">
        <f t="shared" si="11"/>
        <v>1</v>
      </c>
      <c r="O33" s="26">
        <f t="shared" si="12"/>
        <v>2.7872268566718467E-4</v>
      </c>
      <c r="Q33" s="88" t="s">
        <v>54</v>
      </c>
      <c r="R33" s="26">
        <f t="shared" si="13"/>
        <v>0.42857142857142849</v>
      </c>
      <c r="S33" s="26">
        <f t="shared" si="14"/>
        <v>0.5714285714285714</v>
      </c>
      <c r="T33" s="26">
        <f t="shared" si="15"/>
        <v>0</v>
      </c>
      <c r="U33" s="26">
        <f t="shared" si="16"/>
        <v>0</v>
      </c>
      <c r="V33" s="135">
        <f t="shared" si="17"/>
        <v>1</v>
      </c>
    </row>
    <row r="34" spans="1:22" x14ac:dyDescent="0.25">
      <c r="A34" s="88" t="s">
        <v>67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I34" s="88" t="s">
        <v>67</v>
      </c>
      <c r="J34" s="26" t="str">
        <f t="shared" si="10"/>
        <v/>
      </c>
      <c r="K34" s="26" t="str">
        <f t="shared" si="11"/>
        <v/>
      </c>
      <c r="L34" s="26" t="str">
        <f t="shared" si="11"/>
        <v/>
      </c>
      <c r="M34" s="26" t="str">
        <f t="shared" si="11"/>
        <v/>
      </c>
      <c r="N34" s="26" t="str">
        <f t="shared" si="11"/>
        <v/>
      </c>
      <c r="O34" s="26">
        <f t="shared" si="12"/>
        <v>0</v>
      </c>
      <c r="Q34" s="88" t="s">
        <v>67</v>
      </c>
      <c r="R34" s="26" t="str">
        <f t="shared" si="13"/>
        <v/>
      </c>
      <c r="S34" s="26" t="str">
        <f t="shared" si="14"/>
        <v/>
      </c>
      <c r="T34" s="26" t="str">
        <f t="shared" si="15"/>
        <v/>
      </c>
      <c r="U34" s="26" t="str">
        <f t="shared" si="16"/>
        <v/>
      </c>
      <c r="V34" s="135" t="str">
        <f t="shared" si="17"/>
        <v/>
      </c>
    </row>
    <row r="35" spans="1:22" x14ac:dyDescent="0.25">
      <c r="A35" s="88" t="s">
        <v>75</v>
      </c>
      <c r="B35" s="14">
        <v>997.212083333333</v>
      </c>
      <c r="C35" s="14">
        <v>646.33749999999998</v>
      </c>
      <c r="D35" s="14">
        <v>264.32499999999999</v>
      </c>
      <c r="E35" s="14">
        <v>236.53933333333299</v>
      </c>
      <c r="F35" s="14">
        <v>2144.413916666666</v>
      </c>
      <c r="I35" s="88" t="s">
        <v>75</v>
      </c>
      <c r="J35" s="26">
        <f t="shared" si="10"/>
        <v>0.46502779877656547</v>
      </c>
      <c r="K35" s="26">
        <f t="shared" si="11"/>
        <v>0.30140519746518163</v>
      </c>
      <c r="L35" s="26">
        <f t="shared" si="11"/>
        <v>0.12326211742314833</v>
      </c>
      <c r="M35" s="26">
        <f t="shared" si="11"/>
        <v>0.11030488633510457</v>
      </c>
      <c r="N35" s="26">
        <f t="shared" si="11"/>
        <v>1</v>
      </c>
      <c r="O35" s="26">
        <f t="shared" si="12"/>
        <v>0.16024043057249851</v>
      </c>
      <c r="Q35" s="88" t="s">
        <v>75</v>
      </c>
      <c r="R35" s="26">
        <f t="shared" si="13"/>
        <v>0.752</v>
      </c>
      <c r="S35" s="26">
        <f t="shared" si="14"/>
        <v>0.24693333333333334</v>
      </c>
      <c r="T35" s="26">
        <f t="shared" si="15"/>
        <v>0</v>
      </c>
      <c r="U35" s="26">
        <f t="shared" si="16"/>
        <v>1.0666666666666667E-3</v>
      </c>
      <c r="V35" s="135">
        <f t="shared" si="17"/>
        <v>1</v>
      </c>
    </row>
    <row r="36" spans="1:22" x14ac:dyDescent="0.25">
      <c r="A36" s="88" t="s">
        <v>55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I36" s="88" t="s">
        <v>55</v>
      </c>
      <c r="J36" s="26" t="str">
        <f t="shared" si="10"/>
        <v/>
      </c>
      <c r="K36" s="26" t="str">
        <f t="shared" si="11"/>
        <v/>
      </c>
      <c r="L36" s="26" t="str">
        <f t="shared" si="11"/>
        <v/>
      </c>
      <c r="M36" s="26" t="str">
        <f t="shared" si="11"/>
        <v/>
      </c>
      <c r="N36" s="26" t="str">
        <f t="shared" si="11"/>
        <v/>
      </c>
      <c r="O36" s="26">
        <f t="shared" si="12"/>
        <v>0</v>
      </c>
      <c r="Q36" s="88" t="s">
        <v>55</v>
      </c>
      <c r="R36" s="26" t="str">
        <f t="shared" si="13"/>
        <v/>
      </c>
      <c r="S36" s="26" t="str">
        <f t="shared" si="14"/>
        <v/>
      </c>
      <c r="T36" s="26" t="str">
        <f t="shared" si="15"/>
        <v/>
      </c>
      <c r="U36" s="26" t="str">
        <f t="shared" si="16"/>
        <v/>
      </c>
      <c r="V36" s="135" t="str">
        <f t="shared" si="17"/>
        <v/>
      </c>
    </row>
    <row r="37" spans="1:22" x14ac:dyDescent="0.25">
      <c r="A37" s="88" t="s">
        <v>80</v>
      </c>
      <c r="B37" s="14">
        <v>0</v>
      </c>
      <c r="C37" s="14">
        <v>0</v>
      </c>
      <c r="D37" s="14">
        <v>0</v>
      </c>
      <c r="E37" s="14">
        <v>0</v>
      </c>
      <c r="F37" s="14">
        <v>0</v>
      </c>
      <c r="I37" s="88" t="s">
        <v>80</v>
      </c>
      <c r="J37" s="26" t="str">
        <f t="shared" si="10"/>
        <v/>
      </c>
      <c r="K37" s="26" t="str">
        <f t="shared" si="11"/>
        <v/>
      </c>
      <c r="L37" s="26" t="str">
        <f t="shared" si="11"/>
        <v/>
      </c>
      <c r="M37" s="26" t="str">
        <f t="shared" si="11"/>
        <v/>
      </c>
      <c r="N37" s="26" t="str">
        <f t="shared" si="11"/>
        <v/>
      </c>
      <c r="O37" s="26">
        <f t="shared" si="12"/>
        <v>0</v>
      </c>
      <c r="Q37" s="88" t="s">
        <v>80</v>
      </c>
      <c r="R37" s="26" t="str">
        <f t="shared" si="13"/>
        <v/>
      </c>
      <c r="S37" s="26" t="str">
        <f t="shared" si="14"/>
        <v/>
      </c>
      <c r="T37" s="26" t="str">
        <f t="shared" si="15"/>
        <v/>
      </c>
      <c r="U37" s="26" t="str">
        <f t="shared" si="16"/>
        <v/>
      </c>
      <c r="V37" s="135" t="str">
        <f t="shared" si="17"/>
        <v/>
      </c>
    </row>
    <row r="38" spans="1:22" x14ac:dyDescent="0.25">
      <c r="A38" s="88" t="s">
        <v>56</v>
      </c>
      <c r="B38" s="14">
        <v>339.16500000000002</v>
      </c>
      <c r="C38" s="14">
        <v>313.7</v>
      </c>
      <c r="D38" s="14">
        <v>83.69</v>
      </c>
      <c r="E38" s="14">
        <v>51.53</v>
      </c>
      <c r="F38" s="14">
        <v>788.08500000000004</v>
      </c>
      <c r="I38" s="88" t="s">
        <v>56</v>
      </c>
      <c r="J38" s="26">
        <f t="shared" si="10"/>
        <v>0.43036601381830641</v>
      </c>
      <c r="K38" s="26">
        <f t="shared" si="11"/>
        <v>0.39805350945646722</v>
      </c>
      <c r="L38" s="26">
        <f t="shared" si="11"/>
        <v>0.10619412880590291</v>
      </c>
      <c r="M38" s="26">
        <f t="shared" si="11"/>
        <v>6.538634791932342E-2</v>
      </c>
      <c r="N38" s="26">
        <f t="shared" si="11"/>
        <v>1</v>
      </c>
      <c r="O38" s="26">
        <f t="shared" si="12"/>
        <v>5.8889321108317225E-2</v>
      </c>
      <c r="Q38" s="88" t="s">
        <v>56</v>
      </c>
      <c r="R38" s="26">
        <f t="shared" si="13"/>
        <v>0.67113374430447603</v>
      </c>
      <c r="S38" s="26">
        <f t="shared" si="14"/>
        <v>0.28692039667649427</v>
      </c>
      <c r="T38" s="26">
        <f t="shared" si="15"/>
        <v>4.0069686411149837E-2</v>
      </c>
      <c r="U38" s="26">
        <f t="shared" si="16"/>
        <v>1.8761726078799254E-3</v>
      </c>
      <c r="V38" s="135">
        <f t="shared" si="17"/>
        <v>1</v>
      </c>
    </row>
    <row r="39" spans="1:22" x14ac:dyDescent="0.25">
      <c r="A39" s="88" t="s">
        <v>57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I39" s="88" t="s">
        <v>57</v>
      </c>
      <c r="J39" s="26" t="str">
        <f t="shared" si="10"/>
        <v/>
      </c>
      <c r="K39" s="26" t="str">
        <f t="shared" si="11"/>
        <v/>
      </c>
      <c r="L39" s="26" t="str">
        <f t="shared" si="11"/>
        <v/>
      </c>
      <c r="M39" s="26" t="str">
        <f t="shared" si="11"/>
        <v/>
      </c>
      <c r="N39" s="26" t="str">
        <f t="shared" si="11"/>
        <v/>
      </c>
      <c r="O39" s="26">
        <f t="shared" si="12"/>
        <v>0</v>
      </c>
      <c r="Q39" s="88" t="s">
        <v>57</v>
      </c>
      <c r="R39" s="26" t="str">
        <f t="shared" si="13"/>
        <v/>
      </c>
      <c r="S39" s="26" t="str">
        <f t="shared" si="14"/>
        <v/>
      </c>
      <c r="T39" s="26" t="str">
        <f t="shared" si="15"/>
        <v/>
      </c>
      <c r="U39" s="26" t="str">
        <f t="shared" si="16"/>
        <v/>
      </c>
      <c r="V39" s="135" t="str">
        <f t="shared" si="17"/>
        <v/>
      </c>
    </row>
    <row r="40" spans="1:22" x14ac:dyDescent="0.25">
      <c r="A40" s="88" t="s">
        <v>86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I40" s="88" t="s">
        <v>86</v>
      </c>
      <c r="J40" s="26" t="str">
        <f t="shared" si="10"/>
        <v/>
      </c>
      <c r="K40" s="26" t="str">
        <f t="shared" si="11"/>
        <v/>
      </c>
      <c r="L40" s="26" t="str">
        <f t="shared" si="11"/>
        <v/>
      </c>
      <c r="M40" s="26" t="str">
        <f t="shared" si="11"/>
        <v/>
      </c>
      <c r="N40" s="26" t="str">
        <f t="shared" si="11"/>
        <v/>
      </c>
      <c r="O40" s="26">
        <f t="shared" si="12"/>
        <v>0</v>
      </c>
      <c r="Q40" s="88" t="s">
        <v>86</v>
      </c>
      <c r="R40" s="26" t="str">
        <f t="shared" si="13"/>
        <v/>
      </c>
      <c r="S40" s="26" t="str">
        <f t="shared" si="14"/>
        <v/>
      </c>
      <c r="T40" s="26" t="str">
        <f t="shared" si="15"/>
        <v/>
      </c>
      <c r="U40" s="26" t="str">
        <f t="shared" si="16"/>
        <v/>
      </c>
      <c r="V40" s="135" t="str">
        <f t="shared" si="17"/>
        <v/>
      </c>
    </row>
    <row r="41" spans="1:22" x14ac:dyDescent="0.25">
      <c r="A41" s="16" t="s">
        <v>59</v>
      </c>
      <c r="B41" s="17">
        <v>3743.2770833333302</v>
      </c>
      <c r="C41" s="17">
        <v>4628.8191666666698</v>
      </c>
      <c r="D41" s="17">
        <v>2343.0050000000001</v>
      </c>
      <c r="E41" s="17">
        <v>2667.3760000000002</v>
      </c>
      <c r="F41" s="17">
        <v>13382.47725</v>
      </c>
      <c r="I41" s="16" t="s">
        <v>59</v>
      </c>
      <c r="J41" s="25">
        <f t="shared" si="10"/>
        <v>0.27971481015096289</v>
      </c>
      <c r="K41" s="25">
        <f>IFERROR(C41/$F41,"")</f>
        <v>0.34588657093862574</v>
      </c>
      <c r="L41" s="25">
        <f>IFERROR(D41/$F41,"")</f>
        <v>0.1750800659870354</v>
      </c>
      <c r="M41" s="25">
        <f>IFERROR(E41/$F41,"")</f>
        <v>0.199318552923376</v>
      </c>
      <c r="N41" s="25">
        <f>IFERROR(F41/$F41,"")</f>
        <v>1</v>
      </c>
      <c r="Q41" s="60" t="s">
        <v>59</v>
      </c>
      <c r="R41" s="262">
        <f t="shared" si="13"/>
        <v>0.63298024831114585</v>
      </c>
      <c r="S41" s="262">
        <f t="shared" si="14"/>
        <v>0.20739150782741264</v>
      </c>
      <c r="T41" s="262">
        <f t="shared" si="15"/>
        <v>5.976962488698092E-2</v>
      </c>
      <c r="U41" s="262">
        <f t="shared" si="16"/>
        <v>9.9858618974460675E-2</v>
      </c>
      <c r="V41" s="262">
        <f t="shared" si="17"/>
        <v>1</v>
      </c>
    </row>
  </sheetData>
  <mergeCells count="3">
    <mergeCell ref="A2:B2"/>
    <mergeCell ref="I2:J2"/>
    <mergeCell ref="A23:B23"/>
  </mergeCells>
  <conditionalFormatting sqref="J4:M19">
    <cfRule type="colorScale" priority="2">
      <colorScale>
        <cfvo type="percentile" val="25"/>
        <cfvo type="percentile" val="50"/>
        <cfvo type="percentile" val="75"/>
        <color theme="5" tint="0.79998168889431442"/>
        <color theme="5" tint="0.59999389629810485"/>
        <color theme="5" tint="0.39997558519241921"/>
      </colorScale>
    </cfRule>
  </conditionalFormatting>
  <conditionalFormatting sqref="R25:U40">
    <cfRule type="colorScale" priority="1">
      <colorScale>
        <cfvo type="percentile" val="25"/>
        <cfvo type="percentile" val="50"/>
        <cfvo type="percentile" val="75"/>
        <color theme="9" tint="0.79998168889431442"/>
        <color theme="9" tint="0.59999389629810485"/>
        <color theme="9" tint="0.39997558519241921"/>
      </colorScale>
    </cfRule>
  </conditionalFormatting>
  <hyperlinks>
    <hyperlink ref="E1" location="INDICE!A1" display="INDI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topLeftCell="A13" workbookViewId="0">
      <selection activeCell="E1" sqref="E1"/>
    </sheetView>
  </sheetViews>
  <sheetFormatPr baseColWidth="10" defaultRowHeight="15" x14ac:dyDescent="0.25"/>
  <cols>
    <col min="1" max="1" width="17.140625" customWidth="1"/>
    <col min="9" max="9" width="17" customWidth="1"/>
    <col min="17" max="17" width="18.42578125" customWidth="1"/>
  </cols>
  <sheetData>
    <row r="1" spans="1:22" x14ac:dyDescent="0.25">
      <c r="D1" s="2" t="s">
        <v>0</v>
      </c>
      <c r="E1" s="176" t="s">
        <v>1</v>
      </c>
      <c r="F1" s="2" t="s">
        <v>216</v>
      </c>
      <c r="G1" t="s">
        <v>225</v>
      </c>
    </row>
    <row r="2" spans="1:22" ht="18.75" x14ac:dyDescent="0.3">
      <c r="A2" s="307" t="s">
        <v>105</v>
      </c>
      <c r="B2" s="307"/>
      <c r="I2" s="307" t="s">
        <v>105</v>
      </c>
      <c r="J2" s="307"/>
      <c r="Q2" s="309" t="s">
        <v>107</v>
      </c>
      <c r="R2" s="309"/>
    </row>
    <row r="3" spans="1:22" x14ac:dyDescent="0.25">
      <c r="A3" s="87" t="s">
        <v>94</v>
      </c>
      <c r="B3" s="87" t="s">
        <v>99</v>
      </c>
      <c r="C3" s="87" t="s">
        <v>100</v>
      </c>
      <c r="D3" s="87" t="s">
        <v>101</v>
      </c>
      <c r="E3" s="87" t="s">
        <v>102</v>
      </c>
      <c r="F3" s="87" t="s">
        <v>103</v>
      </c>
      <c r="I3" s="87" t="s">
        <v>94</v>
      </c>
      <c r="J3" s="87" t="s">
        <v>99</v>
      </c>
      <c r="K3" s="87" t="s">
        <v>100</v>
      </c>
      <c r="L3" s="87" t="s">
        <v>101</v>
      </c>
      <c r="M3" s="87" t="s">
        <v>102</v>
      </c>
      <c r="N3" s="87" t="s">
        <v>103</v>
      </c>
      <c r="Q3" s="89" t="s">
        <v>94</v>
      </c>
      <c r="R3" s="89" t="s">
        <v>99</v>
      </c>
      <c r="S3" s="89" t="s">
        <v>100</v>
      </c>
      <c r="T3" s="89" t="s">
        <v>101</v>
      </c>
      <c r="U3" s="89" t="s">
        <v>102</v>
      </c>
      <c r="V3" s="89" t="s">
        <v>103</v>
      </c>
    </row>
    <row r="4" spans="1:22" x14ac:dyDescent="0.25">
      <c r="A4" s="88" t="s">
        <v>49</v>
      </c>
      <c r="B4" s="14">
        <v>1.37</v>
      </c>
      <c r="C4" s="14">
        <v>76.430000000000007</v>
      </c>
      <c r="D4" s="14">
        <v>185.64</v>
      </c>
      <c r="E4" s="14">
        <v>3434.91</v>
      </c>
      <c r="F4" s="14">
        <v>3698.35</v>
      </c>
      <c r="I4" s="88" t="s">
        <v>49</v>
      </c>
      <c r="J4" s="134">
        <f>IFERROR(B4/F4,"")</f>
        <v>3.7043546446388257E-4</v>
      </c>
      <c r="K4" s="134">
        <f>IFERROR(C4/F4,"")</f>
        <v>2.066597266348507E-2</v>
      </c>
      <c r="L4" s="134">
        <f>IFERROR(D4/F4,"")</f>
        <v>5.0195357389105952E-2</v>
      </c>
      <c r="M4" s="134">
        <f>IFERROR(E4/F4,"")</f>
        <v>0.9287682344829451</v>
      </c>
      <c r="N4" s="135">
        <f>IFERROR(F4/F4,"")</f>
        <v>1</v>
      </c>
      <c r="Q4" s="88" t="s">
        <v>49</v>
      </c>
      <c r="R4" s="14">
        <v>0.23</v>
      </c>
      <c r="S4" s="14">
        <v>0.84</v>
      </c>
      <c r="T4" s="14">
        <v>1.61</v>
      </c>
      <c r="U4" s="14">
        <v>12.98</v>
      </c>
      <c r="V4" s="14">
        <v>15.66</v>
      </c>
    </row>
    <row r="5" spans="1:22" x14ac:dyDescent="0.25">
      <c r="A5" s="88" t="s">
        <v>50</v>
      </c>
      <c r="B5" s="14">
        <v>0</v>
      </c>
      <c r="C5" s="14">
        <v>0</v>
      </c>
      <c r="D5" s="14">
        <v>0</v>
      </c>
      <c r="E5" s="14">
        <v>0</v>
      </c>
      <c r="F5" s="14">
        <v>0</v>
      </c>
      <c r="I5" s="88" t="s">
        <v>50</v>
      </c>
      <c r="J5" s="134" t="str">
        <f t="shared" ref="J5:J20" si="0">IFERROR(B5/F5,"")</f>
        <v/>
      </c>
      <c r="K5" s="134" t="str">
        <f t="shared" ref="K5:K20" si="1">IFERROR(C5/F5,"")</f>
        <v/>
      </c>
      <c r="L5" s="134" t="str">
        <f t="shared" ref="L5:L20" si="2">IFERROR(D5/F5,"")</f>
        <v/>
      </c>
      <c r="M5" s="134" t="str">
        <f t="shared" ref="M5:M19" si="3">IFERROR(E5/F5,"")</f>
        <v/>
      </c>
      <c r="N5" s="135" t="str">
        <f t="shared" ref="N5:N20" si="4">IFERROR(F5/F5,"")</f>
        <v/>
      </c>
      <c r="Q5" s="88" t="s">
        <v>50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</row>
    <row r="6" spans="1:22" x14ac:dyDescent="0.25">
      <c r="A6" s="88" t="s">
        <v>63</v>
      </c>
      <c r="B6" s="14">
        <v>0.99</v>
      </c>
      <c r="C6" s="14">
        <v>1.33</v>
      </c>
      <c r="D6" s="14">
        <v>0</v>
      </c>
      <c r="E6" s="14">
        <v>42.85</v>
      </c>
      <c r="F6" s="14">
        <v>45.17</v>
      </c>
      <c r="I6" s="88" t="s">
        <v>63</v>
      </c>
      <c r="J6" s="134">
        <f t="shared" si="0"/>
        <v>2.1917201682532653E-2</v>
      </c>
      <c r="K6" s="134">
        <f t="shared" si="1"/>
        <v>2.9444321452291346E-2</v>
      </c>
      <c r="L6" s="134">
        <f t="shared" si="2"/>
        <v>0</v>
      </c>
      <c r="M6" s="134">
        <f t="shared" si="3"/>
        <v>0.94863847686517599</v>
      </c>
      <c r="N6" s="135">
        <f t="shared" si="4"/>
        <v>1</v>
      </c>
      <c r="Q6" s="88" t="s">
        <v>63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</row>
    <row r="7" spans="1:22" x14ac:dyDescent="0.25">
      <c r="A7" s="88" t="s">
        <v>60</v>
      </c>
      <c r="B7" s="14">
        <v>0</v>
      </c>
      <c r="C7" s="14">
        <v>0</v>
      </c>
      <c r="D7" s="14">
        <v>0</v>
      </c>
      <c r="E7" s="14">
        <v>0</v>
      </c>
      <c r="F7" s="14">
        <v>0</v>
      </c>
      <c r="I7" s="88" t="s">
        <v>60</v>
      </c>
      <c r="J7" s="134" t="str">
        <f t="shared" si="0"/>
        <v/>
      </c>
      <c r="K7" s="134" t="str">
        <f t="shared" si="1"/>
        <v/>
      </c>
      <c r="L7" s="134" t="str">
        <f t="shared" si="2"/>
        <v/>
      </c>
      <c r="M7" s="134" t="str">
        <f t="shared" si="3"/>
        <v/>
      </c>
      <c r="N7" s="135" t="str">
        <f t="shared" si="4"/>
        <v/>
      </c>
      <c r="Q7" s="88" t="s">
        <v>60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</row>
    <row r="8" spans="1:22" x14ac:dyDescent="0.25">
      <c r="A8" s="88" t="s">
        <v>53</v>
      </c>
      <c r="B8" s="14">
        <v>23.49</v>
      </c>
      <c r="C8" s="14">
        <v>46.64</v>
      </c>
      <c r="D8" s="14">
        <v>39.93</v>
      </c>
      <c r="E8" s="14">
        <v>117.12</v>
      </c>
      <c r="F8" s="14">
        <v>227.18</v>
      </c>
      <c r="I8" s="88" t="s">
        <v>53</v>
      </c>
      <c r="J8" s="134">
        <f t="shared" si="0"/>
        <v>0.1033981864600757</v>
      </c>
      <c r="K8" s="134">
        <f t="shared" si="1"/>
        <v>0.20529976230301963</v>
      </c>
      <c r="L8" s="134">
        <f t="shared" si="2"/>
        <v>0.17576371159433049</v>
      </c>
      <c r="M8" s="134">
        <f t="shared" si="3"/>
        <v>0.51553833964257423</v>
      </c>
      <c r="N8" s="135">
        <f t="shared" si="4"/>
        <v>1</v>
      </c>
      <c r="Q8" s="88" t="s">
        <v>53</v>
      </c>
      <c r="R8" s="14">
        <v>4.1100000000000003</v>
      </c>
      <c r="S8" s="14">
        <v>0.93</v>
      </c>
      <c r="T8" s="14">
        <v>1</v>
      </c>
      <c r="U8" s="14">
        <v>1.53</v>
      </c>
      <c r="V8" s="14">
        <v>7.57</v>
      </c>
    </row>
    <row r="9" spans="1:22" x14ac:dyDescent="0.25">
      <c r="A9" s="88" t="s">
        <v>52</v>
      </c>
      <c r="B9" s="14">
        <v>0</v>
      </c>
      <c r="C9" s="14">
        <v>0.24</v>
      </c>
      <c r="D9" s="14">
        <v>0</v>
      </c>
      <c r="E9" s="14">
        <v>0.6</v>
      </c>
      <c r="F9" s="14">
        <v>0.84</v>
      </c>
      <c r="I9" s="88" t="s">
        <v>52</v>
      </c>
      <c r="J9" s="134">
        <f t="shared" si="0"/>
        <v>0</v>
      </c>
      <c r="K9" s="134">
        <f t="shared" si="1"/>
        <v>0.2857142857142857</v>
      </c>
      <c r="L9" s="134">
        <f t="shared" si="2"/>
        <v>0</v>
      </c>
      <c r="M9" s="134">
        <f t="shared" si="3"/>
        <v>0.7142857142857143</v>
      </c>
      <c r="N9" s="135">
        <f t="shared" si="4"/>
        <v>1</v>
      </c>
      <c r="Q9" s="88" t="s">
        <v>52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</row>
    <row r="10" spans="1:22" x14ac:dyDescent="0.25">
      <c r="A10" s="88" t="s">
        <v>65</v>
      </c>
      <c r="B10" s="14">
        <v>0</v>
      </c>
      <c r="C10" s="14">
        <v>0</v>
      </c>
      <c r="D10" s="14">
        <v>0</v>
      </c>
      <c r="E10" s="14">
        <v>2.61</v>
      </c>
      <c r="F10" s="14">
        <v>2.61</v>
      </c>
      <c r="I10" s="88" t="s">
        <v>65</v>
      </c>
      <c r="J10" s="134">
        <f t="shared" si="0"/>
        <v>0</v>
      </c>
      <c r="K10" s="134">
        <f t="shared" si="1"/>
        <v>0</v>
      </c>
      <c r="L10" s="134">
        <f t="shared" si="2"/>
        <v>0</v>
      </c>
      <c r="M10" s="134">
        <f t="shared" si="3"/>
        <v>1</v>
      </c>
      <c r="N10" s="135">
        <f t="shared" si="4"/>
        <v>1</v>
      </c>
      <c r="Q10" s="88" t="s">
        <v>65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</row>
    <row r="11" spans="1:22" x14ac:dyDescent="0.25">
      <c r="A11" s="88" t="s">
        <v>51</v>
      </c>
      <c r="B11" s="14">
        <v>0</v>
      </c>
      <c r="C11" s="14">
        <v>0</v>
      </c>
      <c r="D11" s="14">
        <v>1.0900000000000001</v>
      </c>
      <c r="E11" s="14">
        <v>109.69499999999999</v>
      </c>
      <c r="F11" s="14">
        <v>110.785</v>
      </c>
      <c r="I11" s="88" t="s">
        <v>51</v>
      </c>
      <c r="J11" s="134">
        <f t="shared" si="0"/>
        <v>0</v>
      </c>
      <c r="K11" s="134">
        <f t="shared" si="1"/>
        <v>0</v>
      </c>
      <c r="L11" s="134">
        <f t="shared" si="2"/>
        <v>9.8388771043011244E-3</v>
      </c>
      <c r="M11" s="134">
        <f t="shared" si="3"/>
        <v>0.9901611228956988</v>
      </c>
      <c r="N11" s="135">
        <f t="shared" si="4"/>
        <v>1</v>
      </c>
      <c r="Q11" s="88" t="s">
        <v>51</v>
      </c>
      <c r="R11" s="14">
        <v>0</v>
      </c>
      <c r="S11" s="14">
        <v>0</v>
      </c>
      <c r="T11" s="14">
        <v>2.74</v>
      </c>
      <c r="U11" s="14">
        <v>0.05</v>
      </c>
      <c r="V11" s="14">
        <v>2.79</v>
      </c>
    </row>
    <row r="12" spans="1:22" x14ac:dyDescent="0.25">
      <c r="A12" s="88" t="s">
        <v>54</v>
      </c>
      <c r="B12" s="14">
        <v>7.28</v>
      </c>
      <c r="C12" s="14">
        <v>86.24</v>
      </c>
      <c r="D12" s="14">
        <v>222.66</v>
      </c>
      <c r="E12" s="14">
        <v>2260.4250000000002</v>
      </c>
      <c r="F12" s="14">
        <v>2576.605</v>
      </c>
      <c r="I12" s="88" t="s">
        <v>54</v>
      </c>
      <c r="J12" s="134">
        <f t="shared" si="0"/>
        <v>2.8254233768854752E-3</v>
      </c>
      <c r="K12" s="134">
        <f t="shared" si="1"/>
        <v>3.3470400003104861E-2</v>
      </c>
      <c r="L12" s="134">
        <f t="shared" si="2"/>
        <v>8.6416039711170317E-2</v>
      </c>
      <c r="M12" s="134">
        <f t="shared" si="3"/>
        <v>0.87728813690883944</v>
      </c>
      <c r="N12" s="135">
        <f t="shared" si="4"/>
        <v>1</v>
      </c>
      <c r="Q12" s="88" t="s">
        <v>54</v>
      </c>
      <c r="R12" s="14">
        <v>3.94</v>
      </c>
      <c r="S12" s="14">
        <v>14.09</v>
      </c>
      <c r="T12" s="14">
        <v>22.65</v>
      </c>
      <c r="U12" s="14">
        <v>60.52</v>
      </c>
      <c r="V12" s="14">
        <v>101.2</v>
      </c>
    </row>
    <row r="13" spans="1:22" x14ac:dyDescent="0.25">
      <c r="A13" s="88" t="s">
        <v>67</v>
      </c>
      <c r="B13" s="14">
        <v>139.63999999999999</v>
      </c>
      <c r="C13" s="14">
        <v>366.54</v>
      </c>
      <c r="D13" s="14">
        <v>385.64</v>
      </c>
      <c r="E13" s="14">
        <v>1626.1</v>
      </c>
      <c r="F13" s="14">
        <v>2517.92</v>
      </c>
      <c r="I13" s="88" t="s">
        <v>67</v>
      </c>
      <c r="J13" s="134">
        <f t="shared" si="0"/>
        <v>5.5458473660799382E-2</v>
      </c>
      <c r="K13" s="134">
        <f t="shared" si="1"/>
        <v>0.1455725360615111</v>
      </c>
      <c r="L13" s="134">
        <f t="shared" si="2"/>
        <v>0.15315816229268603</v>
      </c>
      <c r="M13" s="134">
        <f t="shared" si="3"/>
        <v>0.64581082798500344</v>
      </c>
      <c r="N13" s="135">
        <f t="shared" si="4"/>
        <v>1</v>
      </c>
      <c r="Q13" s="88" t="s">
        <v>67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</row>
    <row r="14" spans="1:22" x14ac:dyDescent="0.25">
      <c r="A14" s="88" t="s">
        <v>75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I14" s="88" t="s">
        <v>75</v>
      </c>
      <c r="J14" s="134" t="str">
        <f t="shared" si="0"/>
        <v/>
      </c>
      <c r="K14" s="134" t="str">
        <f t="shared" si="1"/>
        <v/>
      </c>
      <c r="L14" s="134" t="str">
        <f t="shared" si="2"/>
        <v/>
      </c>
      <c r="M14" s="134" t="str">
        <f t="shared" si="3"/>
        <v/>
      </c>
      <c r="N14" s="135" t="str">
        <f t="shared" si="4"/>
        <v/>
      </c>
      <c r="Q14" s="88" t="s">
        <v>75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</row>
    <row r="15" spans="1:22" x14ac:dyDescent="0.25">
      <c r="A15" s="88" t="s">
        <v>55</v>
      </c>
      <c r="B15" s="14">
        <v>0</v>
      </c>
      <c r="C15" s="14">
        <v>0</v>
      </c>
      <c r="D15" s="14">
        <v>0</v>
      </c>
      <c r="E15" s="14">
        <v>0.78</v>
      </c>
      <c r="F15" s="14">
        <v>0.78</v>
      </c>
      <c r="I15" s="88" t="s">
        <v>55</v>
      </c>
      <c r="J15" s="134">
        <f t="shared" si="0"/>
        <v>0</v>
      </c>
      <c r="K15" s="134">
        <f t="shared" si="1"/>
        <v>0</v>
      </c>
      <c r="L15" s="134">
        <f t="shared" si="2"/>
        <v>0</v>
      </c>
      <c r="M15" s="134">
        <f t="shared" si="3"/>
        <v>1</v>
      </c>
      <c r="N15" s="135">
        <f t="shared" si="4"/>
        <v>1</v>
      </c>
      <c r="Q15" s="88" t="s">
        <v>55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</row>
    <row r="16" spans="1:22" x14ac:dyDescent="0.25">
      <c r="A16" s="88" t="s">
        <v>80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I16" s="88" t="s">
        <v>80</v>
      </c>
      <c r="J16" s="134" t="str">
        <f t="shared" si="0"/>
        <v/>
      </c>
      <c r="K16" s="134" t="str">
        <f t="shared" si="1"/>
        <v/>
      </c>
      <c r="L16" s="134" t="str">
        <f t="shared" si="2"/>
        <v/>
      </c>
      <c r="M16" s="134" t="str">
        <f t="shared" si="3"/>
        <v/>
      </c>
      <c r="N16" s="135" t="str">
        <f t="shared" si="4"/>
        <v/>
      </c>
      <c r="Q16" s="88" t="s">
        <v>80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</row>
    <row r="17" spans="1:22" x14ac:dyDescent="0.25">
      <c r="A17" s="88" t="s">
        <v>56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I17" s="88" t="s">
        <v>56</v>
      </c>
      <c r="J17" s="134" t="str">
        <f t="shared" si="0"/>
        <v/>
      </c>
      <c r="K17" s="134" t="str">
        <f t="shared" si="1"/>
        <v/>
      </c>
      <c r="L17" s="134" t="str">
        <f t="shared" si="2"/>
        <v/>
      </c>
      <c r="M17" s="134" t="str">
        <f t="shared" si="3"/>
        <v/>
      </c>
      <c r="N17" s="135" t="str">
        <f t="shared" si="4"/>
        <v/>
      </c>
      <c r="Q17" s="88" t="s">
        <v>56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</row>
    <row r="18" spans="1:22" x14ac:dyDescent="0.25">
      <c r="A18" s="88" t="s">
        <v>57</v>
      </c>
      <c r="B18" s="14">
        <v>0</v>
      </c>
      <c r="C18" s="14">
        <v>0</v>
      </c>
      <c r="D18" s="14">
        <v>0</v>
      </c>
      <c r="E18" s="14">
        <v>0.89</v>
      </c>
      <c r="F18" s="14">
        <v>0.89</v>
      </c>
      <c r="I18" s="88" t="s">
        <v>57</v>
      </c>
      <c r="J18" s="134">
        <f t="shared" si="0"/>
        <v>0</v>
      </c>
      <c r="K18" s="134">
        <f t="shared" si="1"/>
        <v>0</v>
      </c>
      <c r="L18" s="134">
        <f t="shared" si="2"/>
        <v>0</v>
      </c>
      <c r="M18" s="134">
        <f t="shared" si="3"/>
        <v>1</v>
      </c>
      <c r="N18" s="135">
        <f t="shared" si="4"/>
        <v>1</v>
      </c>
      <c r="Q18" s="88" t="s">
        <v>57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</row>
    <row r="19" spans="1:22" x14ac:dyDescent="0.25">
      <c r="A19" s="88" t="s">
        <v>86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I19" s="88" t="s">
        <v>86</v>
      </c>
      <c r="J19" s="134" t="str">
        <f t="shared" si="0"/>
        <v/>
      </c>
      <c r="K19" s="134" t="str">
        <f t="shared" si="1"/>
        <v/>
      </c>
      <c r="L19" s="134" t="str">
        <f t="shared" si="2"/>
        <v/>
      </c>
      <c r="M19" s="134" t="str">
        <f t="shared" si="3"/>
        <v/>
      </c>
      <c r="N19" s="135" t="str">
        <f t="shared" si="4"/>
        <v/>
      </c>
      <c r="Q19" s="88" t="s">
        <v>86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</row>
    <row r="20" spans="1:22" x14ac:dyDescent="0.25">
      <c r="A20" s="44" t="s">
        <v>59</v>
      </c>
      <c r="B20" s="45">
        <v>172.77</v>
      </c>
      <c r="C20" s="45">
        <v>577.41999999999996</v>
      </c>
      <c r="D20" s="45">
        <v>834.96</v>
      </c>
      <c r="E20" s="45">
        <v>7595.9799999999896</v>
      </c>
      <c r="F20" s="45">
        <v>9181.1299999999901</v>
      </c>
      <c r="I20" s="44" t="s">
        <v>59</v>
      </c>
      <c r="J20" s="46">
        <f t="shared" si="0"/>
        <v>1.8817945067764012E-2</v>
      </c>
      <c r="K20" s="46">
        <f t="shared" si="1"/>
        <v>6.2892040522245146E-2</v>
      </c>
      <c r="L20" s="46">
        <f t="shared" si="2"/>
        <v>9.0943053850669905E-2</v>
      </c>
      <c r="M20" s="46">
        <f>IFERROR(E20/F20,"")</f>
        <v>0.82734696055932089</v>
      </c>
      <c r="N20" s="46">
        <f t="shared" si="4"/>
        <v>1</v>
      </c>
      <c r="Q20" s="60" t="s">
        <v>59</v>
      </c>
      <c r="R20" s="61">
        <v>8.2799999999999994</v>
      </c>
      <c r="S20" s="61">
        <v>15.86</v>
      </c>
      <c r="T20" s="61">
        <v>28</v>
      </c>
      <c r="U20" s="61">
        <v>75.08</v>
      </c>
      <c r="V20" s="61">
        <v>127.22</v>
      </c>
    </row>
    <row r="23" spans="1:22" ht="18.75" x14ac:dyDescent="0.3">
      <c r="A23" s="308" t="s">
        <v>113</v>
      </c>
      <c r="B23" s="308"/>
      <c r="Q23" s="309" t="s">
        <v>107</v>
      </c>
      <c r="R23" s="309"/>
    </row>
    <row r="24" spans="1:22" x14ac:dyDescent="0.25">
      <c r="A24" s="90" t="s">
        <v>94</v>
      </c>
      <c r="B24" s="90" t="s">
        <v>99</v>
      </c>
      <c r="C24" s="90" t="s">
        <v>100</v>
      </c>
      <c r="D24" s="90" t="s">
        <v>101</v>
      </c>
      <c r="E24" s="90" t="s">
        <v>102</v>
      </c>
      <c r="F24" s="90" t="s">
        <v>103</v>
      </c>
      <c r="I24" s="90" t="s">
        <v>94</v>
      </c>
      <c r="J24" s="90" t="s">
        <v>99</v>
      </c>
      <c r="K24" s="90" t="s">
        <v>100</v>
      </c>
      <c r="L24" s="90" t="s">
        <v>101</v>
      </c>
      <c r="M24" s="90" t="s">
        <v>102</v>
      </c>
      <c r="N24" s="90" t="s">
        <v>103</v>
      </c>
      <c r="O24" s="90" t="s">
        <v>115</v>
      </c>
      <c r="Q24" s="89" t="s">
        <v>94</v>
      </c>
      <c r="R24" s="89" t="s">
        <v>99</v>
      </c>
      <c r="S24" s="89" t="s">
        <v>100</v>
      </c>
      <c r="T24" s="89" t="s">
        <v>101</v>
      </c>
      <c r="U24" s="89" t="s">
        <v>102</v>
      </c>
      <c r="V24" s="89" t="s">
        <v>103</v>
      </c>
    </row>
    <row r="25" spans="1:22" x14ac:dyDescent="0.25">
      <c r="A25" s="88" t="s">
        <v>49</v>
      </c>
      <c r="B25" s="14">
        <v>1.6</v>
      </c>
      <c r="C25" s="14">
        <v>77.27</v>
      </c>
      <c r="D25" s="14">
        <v>187.25</v>
      </c>
      <c r="E25" s="14">
        <v>3447.89</v>
      </c>
      <c r="F25" s="14">
        <v>3714.0099999999998</v>
      </c>
      <c r="I25" s="88" t="s">
        <v>49</v>
      </c>
      <c r="J25" s="26">
        <f t="shared" ref="J25:J41" si="5">IFERROR(B25/$F25,"")</f>
        <v>4.3080120947439564E-4</v>
      </c>
      <c r="K25" s="26">
        <f t="shared" ref="K25:N40" si="6">IFERROR(C25/$F25,"")</f>
        <v>2.0805005910054093E-2</v>
      </c>
      <c r="L25" s="26">
        <f t="shared" si="6"/>
        <v>5.0417204046300367E-2</v>
      </c>
      <c r="M25" s="26">
        <f t="shared" si="6"/>
        <v>0.92834698883417122</v>
      </c>
      <c r="N25" s="26">
        <f t="shared" si="6"/>
        <v>1</v>
      </c>
      <c r="O25" s="26">
        <f>IFERROR(F25/$F$41,"")</f>
        <v>0.39899767413129106</v>
      </c>
      <c r="Q25" s="88" t="s">
        <v>49</v>
      </c>
      <c r="R25" s="26">
        <f>IFERROR(R4/V4,"")</f>
        <v>1.4687100893997447E-2</v>
      </c>
      <c r="S25" s="26">
        <f>IFERROR(S4/V4,"")</f>
        <v>5.3639846743295014E-2</v>
      </c>
      <c r="T25" s="26">
        <f>IFERROR(T4/V4,"")</f>
        <v>0.10280970625798212</v>
      </c>
      <c r="U25" s="26">
        <f>IFERROR(U4/V4,"")</f>
        <v>0.82886334610472545</v>
      </c>
      <c r="V25" s="135">
        <f>IFERROR(V4/V4,"")</f>
        <v>1</v>
      </c>
    </row>
    <row r="26" spans="1:22" x14ac:dyDescent="0.25">
      <c r="A26" s="88" t="s">
        <v>50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I26" s="88" t="s">
        <v>50</v>
      </c>
      <c r="J26" s="26" t="str">
        <f t="shared" si="5"/>
        <v/>
      </c>
      <c r="K26" s="26" t="str">
        <f t="shared" si="6"/>
        <v/>
      </c>
      <c r="L26" s="26" t="str">
        <f t="shared" si="6"/>
        <v/>
      </c>
      <c r="M26" s="26" t="str">
        <f t="shared" si="6"/>
        <v/>
      </c>
      <c r="N26" s="26" t="str">
        <f t="shared" si="6"/>
        <v/>
      </c>
      <c r="O26" s="26">
        <f t="shared" ref="O26:O40" si="7">IFERROR(F26/$F$41,"")</f>
        <v>0</v>
      </c>
      <c r="Q26" s="88" t="s">
        <v>50</v>
      </c>
      <c r="R26" s="26" t="str">
        <f t="shared" ref="R26:R41" si="8">IFERROR(R5/V5,"")</f>
        <v/>
      </c>
      <c r="S26" s="26" t="str">
        <f t="shared" ref="S26:S41" si="9">IFERROR(S5/V5,"")</f>
        <v/>
      </c>
      <c r="T26" s="26" t="str">
        <f t="shared" ref="T26:T41" si="10">IFERROR(T5/V5,"")</f>
        <v/>
      </c>
      <c r="U26" s="26" t="str">
        <f t="shared" ref="U26:U41" si="11">IFERROR(U5/V5,"")</f>
        <v/>
      </c>
      <c r="V26" s="135" t="str">
        <f t="shared" ref="V26:V41" si="12">IFERROR(V5/V5,"")</f>
        <v/>
      </c>
    </row>
    <row r="27" spans="1:22" x14ac:dyDescent="0.25">
      <c r="A27" s="88" t="s">
        <v>63</v>
      </c>
      <c r="B27" s="14">
        <v>0.99</v>
      </c>
      <c r="C27" s="14">
        <v>1.33</v>
      </c>
      <c r="D27" s="14">
        <v>0</v>
      </c>
      <c r="E27" s="14">
        <v>42.85</v>
      </c>
      <c r="F27" s="14">
        <v>45.17</v>
      </c>
      <c r="I27" s="88" t="s">
        <v>63</v>
      </c>
      <c r="J27" s="26">
        <f t="shared" si="5"/>
        <v>2.1917201682532653E-2</v>
      </c>
      <c r="K27" s="26">
        <f t="shared" si="6"/>
        <v>2.9444321452291346E-2</v>
      </c>
      <c r="L27" s="26">
        <f t="shared" si="6"/>
        <v>0</v>
      </c>
      <c r="M27" s="26">
        <f t="shared" si="6"/>
        <v>0.94863847686517599</v>
      </c>
      <c r="N27" s="26">
        <f t="shared" si="6"/>
        <v>1</v>
      </c>
      <c r="O27" s="26">
        <f t="shared" si="7"/>
        <v>4.8526323139976516E-3</v>
      </c>
      <c r="Q27" s="88" t="s">
        <v>63</v>
      </c>
      <c r="R27" s="26" t="str">
        <f t="shared" si="8"/>
        <v/>
      </c>
      <c r="S27" s="26" t="str">
        <f t="shared" si="9"/>
        <v/>
      </c>
      <c r="T27" s="26" t="str">
        <f t="shared" si="10"/>
        <v/>
      </c>
      <c r="U27" s="26" t="str">
        <f t="shared" si="11"/>
        <v/>
      </c>
      <c r="V27" s="135" t="str">
        <f t="shared" si="12"/>
        <v/>
      </c>
    </row>
    <row r="28" spans="1:22" x14ac:dyDescent="0.25">
      <c r="A28" s="88" t="s">
        <v>60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I28" s="88" t="s">
        <v>60</v>
      </c>
      <c r="J28" s="26" t="str">
        <f t="shared" si="5"/>
        <v/>
      </c>
      <c r="K28" s="26" t="str">
        <f t="shared" si="6"/>
        <v/>
      </c>
      <c r="L28" s="26" t="str">
        <f t="shared" si="6"/>
        <v/>
      </c>
      <c r="M28" s="26" t="str">
        <f t="shared" si="6"/>
        <v/>
      </c>
      <c r="N28" s="26" t="str">
        <f t="shared" si="6"/>
        <v/>
      </c>
      <c r="O28" s="26">
        <f t="shared" si="7"/>
        <v>0</v>
      </c>
      <c r="Q28" s="88" t="s">
        <v>60</v>
      </c>
      <c r="R28" s="26" t="str">
        <f t="shared" si="8"/>
        <v/>
      </c>
      <c r="S28" s="26" t="str">
        <f t="shared" si="9"/>
        <v/>
      </c>
      <c r="T28" s="26" t="str">
        <f t="shared" si="10"/>
        <v/>
      </c>
      <c r="U28" s="26" t="str">
        <f t="shared" si="11"/>
        <v/>
      </c>
      <c r="V28" s="135" t="str">
        <f t="shared" si="12"/>
        <v/>
      </c>
    </row>
    <row r="29" spans="1:22" x14ac:dyDescent="0.25">
      <c r="A29" s="88" t="s">
        <v>53</v>
      </c>
      <c r="B29" s="14">
        <v>27.6</v>
      </c>
      <c r="C29" s="14">
        <v>47.57</v>
      </c>
      <c r="D29" s="14">
        <v>40.93</v>
      </c>
      <c r="E29" s="14">
        <v>118.65</v>
      </c>
      <c r="F29" s="14">
        <v>234.75</v>
      </c>
      <c r="I29" s="88" t="s">
        <v>53</v>
      </c>
      <c r="J29" s="26">
        <f t="shared" si="5"/>
        <v>0.11757188498402557</v>
      </c>
      <c r="K29" s="26">
        <f t="shared" si="6"/>
        <v>0.20264110756123535</v>
      </c>
      <c r="L29" s="26">
        <f t="shared" si="6"/>
        <v>0.17435569755058572</v>
      </c>
      <c r="M29" s="26">
        <f t="shared" si="6"/>
        <v>0.50543130990415341</v>
      </c>
      <c r="N29" s="26">
        <f t="shared" si="6"/>
        <v>1</v>
      </c>
      <c r="O29" s="26">
        <f t="shared" si="7"/>
        <v>2.5219292355788108E-2</v>
      </c>
      <c r="Q29" s="88" t="s">
        <v>53</v>
      </c>
      <c r="R29" s="26">
        <f t="shared" si="8"/>
        <v>0.5429326287978864</v>
      </c>
      <c r="S29" s="26">
        <f t="shared" si="9"/>
        <v>0.12285336856010569</v>
      </c>
      <c r="T29" s="26">
        <f t="shared" si="10"/>
        <v>0.13210039630118889</v>
      </c>
      <c r="U29" s="26">
        <f t="shared" si="11"/>
        <v>0.20211360634081901</v>
      </c>
      <c r="V29" s="135">
        <f t="shared" si="12"/>
        <v>1</v>
      </c>
    </row>
    <row r="30" spans="1:22" x14ac:dyDescent="0.25">
      <c r="A30" s="88" t="s">
        <v>52</v>
      </c>
      <c r="B30" s="14">
        <v>0</v>
      </c>
      <c r="C30" s="14">
        <v>0.24</v>
      </c>
      <c r="D30" s="14">
        <v>0</v>
      </c>
      <c r="E30" s="14">
        <v>0.6</v>
      </c>
      <c r="F30" s="14">
        <v>0.84</v>
      </c>
      <c r="I30" s="88" t="s">
        <v>52</v>
      </c>
      <c r="J30" s="26">
        <f t="shared" si="5"/>
        <v>0</v>
      </c>
      <c r="K30" s="26">
        <f t="shared" si="6"/>
        <v>0.2857142857142857</v>
      </c>
      <c r="L30" s="26">
        <f t="shared" si="6"/>
        <v>0</v>
      </c>
      <c r="M30" s="26">
        <f t="shared" si="6"/>
        <v>0.7142857142857143</v>
      </c>
      <c r="N30" s="26">
        <f t="shared" si="6"/>
        <v>1</v>
      </c>
      <c r="O30" s="26">
        <f t="shared" si="7"/>
        <v>9.0241557311446252E-5</v>
      </c>
      <c r="Q30" s="88" t="s">
        <v>52</v>
      </c>
      <c r="R30" s="26" t="str">
        <f t="shared" si="8"/>
        <v/>
      </c>
      <c r="S30" s="26" t="str">
        <f t="shared" si="9"/>
        <v/>
      </c>
      <c r="T30" s="26" t="str">
        <f t="shared" si="10"/>
        <v/>
      </c>
      <c r="U30" s="26" t="str">
        <f t="shared" si="11"/>
        <v/>
      </c>
      <c r="V30" s="135" t="str">
        <f t="shared" si="12"/>
        <v/>
      </c>
    </row>
    <row r="31" spans="1:22" x14ac:dyDescent="0.25">
      <c r="A31" s="88" t="s">
        <v>65</v>
      </c>
      <c r="B31" s="14">
        <v>0</v>
      </c>
      <c r="C31" s="14">
        <v>0</v>
      </c>
      <c r="D31" s="14">
        <v>0</v>
      </c>
      <c r="E31" s="14">
        <v>2.61</v>
      </c>
      <c r="F31" s="14">
        <v>2.61</v>
      </c>
      <c r="I31" s="88" t="s">
        <v>65</v>
      </c>
      <c r="J31" s="26">
        <f t="shared" si="5"/>
        <v>0</v>
      </c>
      <c r="K31" s="26">
        <f t="shared" si="6"/>
        <v>0</v>
      </c>
      <c r="L31" s="26">
        <f t="shared" si="6"/>
        <v>0</v>
      </c>
      <c r="M31" s="26">
        <f t="shared" si="6"/>
        <v>1</v>
      </c>
      <c r="N31" s="26">
        <f t="shared" si="6"/>
        <v>1</v>
      </c>
      <c r="O31" s="26">
        <f t="shared" si="7"/>
        <v>2.8039341021770798E-4</v>
      </c>
      <c r="Q31" s="88" t="s">
        <v>65</v>
      </c>
      <c r="R31" s="26" t="str">
        <f t="shared" si="8"/>
        <v/>
      </c>
      <c r="S31" s="26" t="str">
        <f t="shared" si="9"/>
        <v/>
      </c>
      <c r="T31" s="26" t="str">
        <f t="shared" si="10"/>
        <v/>
      </c>
      <c r="U31" s="26" t="str">
        <f t="shared" si="11"/>
        <v/>
      </c>
      <c r="V31" s="135" t="str">
        <f t="shared" si="12"/>
        <v/>
      </c>
    </row>
    <row r="32" spans="1:22" x14ac:dyDescent="0.25">
      <c r="A32" s="88" t="s">
        <v>51</v>
      </c>
      <c r="B32" s="14">
        <v>0</v>
      </c>
      <c r="C32" s="14">
        <v>0</v>
      </c>
      <c r="D32" s="14">
        <v>3.83</v>
      </c>
      <c r="E32" s="14">
        <v>109.745</v>
      </c>
      <c r="F32" s="14">
        <v>113.575</v>
      </c>
      <c r="I32" s="88" t="s">
        <v>51</v>
      </c>
      <c r="J32" s="26">
        <f t="shared" si="5"/>
        <v>0</v>
      </c>
      <c r="K32" s="26">
        <f t="shared" si="6"/>
        <v>0</v>
      </c>
      <c r="L32" s="26">
        <f t="shared" si="6"/>
        <v>3.3722209993396431E-2</v>
      </c>
      <c r="M32" s="26">
        <f t="shared" si="6"/>
        <v>0.96627779000660363</v>
      </c>
      <c r="N32" s="26">
        <f t="shared" si="6"/>
        <v>1</v>
      </c>
      <c r="O32" s="26">
        <f t="shared" si="7"/>
        <v>1.220141056148513E-2</v>
      </c>
      <c r="Q32" s="88" t="s">
        <v>51</v>
      </c>
      <c r="R32" s="26">
        <f t="shared" si="8"/>
        <v>0</v>
      </c>
      <c r="S32" s="26">
        <f t="shared" si="9"/>
        <v>0</v>
      </c>
      <c r="T32" s="26">
        <f t="shared" si="10"/>
        <v>0.98207885304659504</v>
      </c>
      <c r="U32" s="26">
        <f t="shared" si="11"/>
        <v>1.7921146953405017E-2</v>
      </c>
      <c r="V32" s="135">
        <f t="shared" si="12"/>
        <v>1</v>
      </c>
    </row>
    <row r="33" spans="1:22" x14ac:dyDescent="0.25">
      <c r="A33" s="88" t="s">
        <v>54</v>
      </c>
      <c r="B33" s="14">
        <v>11.22</v>
      </c>
      <c r="C33" s="14">
        <v>100.33</v>
      </c>
      <c r="D33" s="14">
        <v>245.31</v>
      </c>
      <c r="E33" s="14">
        <v>2320.9450000000002</v>
      </c>
      <c r="F33" s="14">
        <v>2677.8050000000003</v>
      </c>
      <c r="I33" s="88" t="s">
        <v>54</v>
      </c>
      <c r="J33" s="26">
        <f t="shared" si="5"/>
        <v>4.1899988983514483E-3</v>
      </c>
      <c r="K33" s="26">
        <f t="shared" si="6"/>
        <v>3.7467253963600781E-2</v>
      </c>
      <c r="L33" s="26">
        <f t="shared" si="6"/>
        <v>9.1608612277593024E-2</v>
      </c>
      <c r="M33" s="26">
        <f t="shared" si="6"/>
        <v>0.8667341348604547</v>
      </c>
      <c r="N33" s="26">
        <f t="shared" si="6"/>
        <v>1</v>
      </c>
      <c r="O33" s="26">
        <f t="shared" si="7"/>
        <v>0.28767773020997306</v>
      </c>
      <c r="Q33" s="88" t="s">
        <v>54</v>
      </c>
      <c r="R33" s="26">
        <f t="shared" si="8"/>
        <v>3.8932806324110669E-2</v>
      </c>
      <c r="S33" s="26">
        <f t="shared" si="9"/>
        <v>0.13922924901185771</v>
      </c>
      <c r="T33" s="26">
        <f t="shared" si="10"/>
        <v>0.22381422924901184</v>
      </c>
      <c r="U33" s="26">
        <f t="shared" si="11"/>
        <v>0.59802371541501975</v>
      </c>
      <c r="V33" s="135">
        <f t="shared" si="12"/>
        <v>1</v>
      </c>
    </row>
    <row r="34" spans="1:22" x14ac:dyDescent="0.25">
      <c r="A34" s="88" t="s">
        <v>67</v>
      </c>
      <c r="B34" s="14">
        <v>139.63999999999999</v>
      </c>
      <c r="C34" s="14">
        <v>366.54</v>
      </c>
      <c r="D34" s="14">
        <v>385.64</v>
      </c>
      <c r="E34" s="14">
        <v>1626.1</v>
      </c>
      <c r="F34" s="14">
        <v>2517.92</v>
      </c>
      <c r="I34" s="88" t="s">
        <v>67</v>
      </c>
      <c r="J34" s="26">
        <f t="shared" si="5"/>
        <v>5.5458473660799382E-2</v>
      </c>
      <c r="K34" s="26">
        <f t="shared" si="6"/>
        <v>0.1455725360615111</v>
      </c>
      <c r="L34" s="26">
        <f t="shared" si="6"/>
        <v>0.15315816229268603</v>
      </c>
      <c r="M34" s="26">
        <f t="shared" si="6"/>
        <v>0.64581082798500344</v>
      </c>
      <c r="N34" s="26">
        <f t="shared" si="6"/>
        <v>1</v>
      </c>
      <c r="O34" s="26">
        <f t="shared" si="7"/>
        <v>0.27050121664956761</v>
      </c>
      <c r="Q34" s="88" t="s">
        <v>67</v>
      </c>
      <c r="R34" s="26" t="str">
        <f t="shared" si="8"/>
        <v/>
      </c>
      <c r="S34" s="26" t="str">
        <f t="shared" si="9"/>
        <v/>
      </c>
      <c r="T34" s="26" t="str">
        <f t="shared" si="10"/>
        <v/>
      </c>
      <c r="U34" s="26" t="str">
        <f t="shared" si="11"/>
        <v/>
      </c>
      <c r="V34" s="135" t="str">
        <f t="shared" si="12"/>
        <v/>
      </c>
    </row>
    <row r="35" spans="1:22" x14ac:dyDescent="0.25">
      <c r="A35" s="88" t="s">
        <v>75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I35" s="88" t="s">
        <v>75</v>
      </c>
      <c r="J35" s="26" t="str">
        <f t="shared" si="5"/>
        <v/>
      </c>
      <c r="K35" s="26" t="str">
        <f t="shared" si="6"/>
        <v/>
      </c>
      <c r="L35" s="26" t="str">
        <f t="shared" si="6"/>
        <v/>
      </c>
      <c r="M35" s="26" t="str">
        <f t="shared" si="6"/>
        <v/>
      </c>
      <c r="N35" s="26" t="str">
        <f t="shared" si="6"/>
        <v/>
      </c>
      <c r="O35" s="26">
        <f t="shared" si="7"/>
        <v>0</v>
      </c>
      <c r="Q35" s="88" t="s">
        <v>75</v>
      </c>
      <c r="R35" s="26" t="str">
        <f t="shared" si="8"/>
        <v/>
      </c>
      <c r="S35" s="26" t="str">
        <f t="shared" si="9"/>
        <v/>
      </c>
      <c r="T35" s="26" t="str">
        <f t="shared" si="10"/>
        <v/>
      </c>
      <c r="U35" s="26" t="str">
        <f t="shared" si="11"/>
        <v/>
      </c>
      <c r="V35" s="135" t="str">
        <f t="shared" si="12"/>
        <v/>
      </c>
    </row>
    <row r="36" spans="1:22" x14ac:dyDescent="0.25">
      <c r="A36" s="88" t="s">
        <v>55</v>
      </c>
      <c r="B36" s="14">
        <v>0</v>
      </c>
      <c r="C36" s="14">
        <v>0</v>
      </c>
      <c r="D36" s="14">
        <v>0</v>
      </c>
      <c r="E36" s="14">
        <v>0.78</v>
      </c>
      <c r="F36" s="14">
        <v>0.78</v>
      </c>
      <c r="I36" s="88" t="s">
        <v>55</v>
      </c>
      <c r="J36" s="26">
        <f t="shared" si="5"/>
        <v>0</v>
      </c>
      <c r="K36" s="26">
        <f t="shared" si="6"/>
        <v>0</v>
      </c>
      <c r="L36" s="26">
        <f t="shared" si="6"/>
        <v>0</v>
      </c>
      <c r="M36" s="26">
        <f t="shared" si="6"/>
        <v>1</v>
      </c>
      <c r="N36" s="26">
        <f t="shared" si="6"/>
        <v>1</v>
      </c>
      <c r="O36" s="26">
        <f t="shared" si="7"/>
        <v>8.3795731789200099E-5</v>
      </c>
      <c r="Q36" s="88" t="s">
        <v>55</v>
      </c>
      <c r="R36" s="26" t="str">
        <f t="shared" si="8"/>
        <v/>
      </c>
      <c r="S36" s="26" t="str">
        <f t="shared" si="9"/>
        <v/>
      </c>
      <c r="T36" s="26" t="str">
        <f t="shared" si="10"/>
        <v/>
      </c>
      <c r="U36" s="26" t="str">
        <f t="shared" si="11"/>
        <v/>
      </c>
      <c r="V36" s="135" t="str">
        <f t="shared" si="12"/>
        <v/>
      </c>
    </row>
    <row r="37" spans="1:22" x14ac:dyDescent="0.25">
      <c r="A37" s="88" t="s">
        <v>80</v>
      </c>
      <c r="B37" s="14">
        <v>0</v>
      </c>
      <c r="C37" s="14">
        <v>0</v>
      </c>
      <c r="D37" s="14">
        <v>0</v>
      </c>
      <c r="E37" s="14">
        <v>0</v>
      </c>
      <c r="F37" s="14">
        <v>0</v>
      </c>
      <c r="I37" s="88" t="s">
        <v>80</v>
      </c>
      <c r="J37" s="26" t="str">
        <f t="shared" si="5"/>
        <v/>
      </c>
      <c r="K37" s="26" t="str">
        <f t="shared" si="6"/>
        <v/>
      </c>
      <c r="L37" s="26" t="str">
        <f t="shared" si="6"/>
        <v/>
      </c>
      <c r="M37" s="26" t="str">
        <f t="shared" si="6"/>
        <v/>
      </c>
      <c r="N37" s="26" t="str">
        <f t="shared" si="6"/>
        <v/>
      </c>
      <c r="O37" s="26">
        <f t="shared" si="7"/>
        <v>0</v>
      </c>
      <c r="Q37" s="88" t="s">
        <v>80</v>
      </c>
      <c r="R37" s="26" t="str">
        <f t="shared" si="8"/>
        <v/>
      </c>
      <c r="S37" s="26" t="str">
        <f t="shared" si="9"/>
        <v/>
      </c>
      <c r="T37" s="26" t="str">
        <f t="shared" si="10"/>
        <v/>
      </c>
      <c r="U37" s="26" t="str">
        <f t="shared" si="11"/>
        <v/>
      </c>
      <c r="V37" s="135" t="str">
        <f t="shared" si="12"/>
        <v/>
      </c>
    </row>
    <row r="38" spans="1:22" x14ac:dyDescent="0.25">
      <c r="A38" s="88" t="s">
        <v>56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I38" s="88" t="s">
        <v>56</v>
      </c>
      <c r="J38" s="26" t="str">
        <f t="shared" si="5"/>
        <v/>
      </c>
      <c r="K38" s="26" t="str">
        <f t="shared" si="6"/>
        <v/>
      </c>
      <c r="L38" s="26" t="str">
        <f t="shared" si="6"/>
        <v/>
      </c>
      <c r="M38" s="26" t="str">
        <f t="shared" si="6"/>
        <v/>
      </c>
      <c r="N38" s="26" t="str">
        <f t="shared" si="6"/>
        <v/>
      </c>
      <c r="O38" s="26">
        <f t="shared" si="7"/>
        <v>0</v>
      </c>
      <c r="Q38" s="88" t="s">
        <v>56</v>
      </c>
      <c r="R38" s="26" t="str">
        <f t="shared" si="8"/>
        <v/>
      </c>
      <c r="S38" s="26" t="str">
        <f t="shared" si="9"/>
        <v/>
      </c>
      <c r="T38" s="26" t="str">
        <f t="shared" si="10"/>
        <v/>
      </c>
      <c r="U38" s="26" t="str">
        <f t="shared" si="11"/>
        <v/>
      </c>
      <c r="V38" s="135" t="str">
        <f t="shared" si="12"/>
        <v/>
      </c>
    </row>
    <row r="39" spans="1:22" x14ac:dyDescent="0.25">
      <c r="A39" s="88" t="s">
        <v>57</v>
      </c>
      <c r="B39" s="14">
        <v>0</v>
      </c>
      <c r="C39" s="14">
        <v>0</v>
      </c>
      <c r="D39" s="14">
        <v>0</v>
      </c>
      <c r="E39" s="14">
        <v>0.89</v>
      </c>
      <c r="F39" s="14">
        <v>0.89</v>
      </c>
      <c r="I39" s="88" t="s">
        <v>57</v>
      </c>
      <c r="J39" s="26">
        <f t="shared" si="5"/>
        <v>0</v>
      </c>
      <c r="K39" s="26">
        <f t="shared" si="6"/>
        <v>0</v>
      </c>
      <c r="L39" s="26">
        <f t="shared" si="6"/>
        <v>0</v>
      </c>
      <c r="M39" s="26">
        <f t="shared" si="6"/>
        <v>1</v>
      </c>
      <c r="N39" s="26">
        <f t="shared" si="6"/>
        <v>1</v>
      </c>
      <c r="O39" s="26">
        <f t="shared" si="7"/>
        <v>9.5613078579984731E-5</v>
      </c>
      <c r="Q39" s="88" t="s">
        <v>57</v>
      </c>
      <c r="R39" s="26" t="str">
        <f t="shared" si="8"/>
        <v/>
      </c>
      <c r="S39" s="26" t="str">
        <f t="shared" si="9"/>
        <v/>
      </c>
      <c r="T39" s="26" t="str">
        <f t="shared" si="10"/>
        <v/>
      </c>
      <c r="U39" s="26" t="str">
        <f t="shared" si="11"/>
        <v/>
      </c>
      <c r="V39" s="135" t="str">
        <f t="shared" si="12"/>
        <v/>
      </c>
    </row>
    <row r="40" spans="1:22" x14ac:dyDescent="0.25">
      <c r="A40" s="88" t="s">
        <v>86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I40" s="88" t="s">
        <v>86</v>
      </c>
      <c r="J40" s="26" t="str">
        <f t="shared" si="5"/>
        <v/>
      </c>
      <c r="K40" s="26" t="str">
        <f t="shared" si="6"/>
        <v/>
      </c>
      <c r="L40" s="26" t="str">
        <f t="shared" si="6"/>
        <v/>
      </c>
      <c r="M40" s="26" t="str">
        <f t="shared" si="6"/>
        <v/>
      </c>
      <c r="N40" s="26" t="str">
        <f t="shared" si="6"/>
        <v/>
      </c>
      <c r="O40" s="26">
        <f t="shared" si="7"/>
        <v>0</v>
      </c>
      <c r="Q40" s="88" t="s">
        <v>86</v>
      </c>
      <c r="R40" s="26" t="str">
        <f t="shared" si="8"/>
        <v/>
      </c>
      <c r="S40" s="26" t="str">
        <f t="shared" si="9"/>
        <v/>
      </c>
      <c r="T40" s="26" t="str">
        <f t="shared" si="10"/>
        <v/>
      </c>
      <c r="U40" s="26" t="str">
        <f t="shared" si="11"/>
        <v/>
      </c>
      <c r="V40" s="135" t="str">
        <f t="shared" si="12"/>
        <v/>
      </c>
    </row>
    <row r="41" spans="1:22" x14ac:dyDescent="0.25">
      <c r="A41" s="16" t="s">
        <v>59</v>
      </c>
      <c r="B41" s="17">
        <v>181.05</v>
      </c>
      <c r="C41" s="17">
        <v>593.28</v>
      </c>
      <c r="D41" s="17">
        <v>862.96</v>
      </c>
      <c r="E41" s="17">
        <v>7671.0599999999904</v>
      </c>
      <c r="F41" s="17">
        <v>9308.3499999999913</v>
      </c>
      <c r="I41" s="16" t="s">
        <v>59</v>
      </c>
      <c r="J41" s="25">
        <f t="shared" si="5"/>
        <v>1.9450278513377793E-2</v>
      </c>
      <c r="K41" s="25">
        <f>IFERROR(C41/$F41,"")</f>
        <v>6.3736322763970038E-2</v>
      </c>
      <c r="L41" s="25">
        <f>IFERROR(D41/$F41,"")</f>
        <v>9.2708159877959134E-2</v>
      </c>
      <c r="M41" s="25">
        <f>IFERROR(E41/$F41,"")</f>
        <v>0.824105238844693</v>
      </c>
      <c r="N41" s="25">
        <f>IFERROR(F41/$F41,"")</f>
        <v>1</v>
      </c>
      <c r="Q41" s="60" t="s">
        <v>59</v>
      </c>
      <c r="R41" s="62">
        <f t="shared" si="8"/>
        <v>6.5084106272598641E-2</v>
      </c>
      <c r="S41" s="62">
        <f t="shared" si="9"/>
        <v>0.12466593302939789</v>
      </c>
      <c r="T41" s="62">
        <f t="shared" si="10"/>
        <v>0.22009118063197611</v>
      </c>
      <c r="U41" s="62">
        <f t="shared" si="11"/>
        <v>0.5901587800660274</v>
      </c>
      <c r="V41" s="62">
        <f t="shared" si="12"/>
        <v>1</v>
      </c>
    </row>
  </sheetData>
  <mergeCells count="5">
    <mergeCell ref="A2:B2"/>
    <mergeCell ref="Q2:R2"/>
    <mergeCell ref="A23:B23"/>
    <mergeCell ref="Q23:R23"/>
    <mergeCell ref="I2:J2"/>
  </mergeCells>
  <conditionalFormatting sqref="J4:M19">
    <cfRule type="colorScale" priority="2">
      <colorScale>
        <cfvo type="percentile" val="25"/>
        <cfvo type="percentile" val="50"/>
        <cfvo type="percentile" val="75"/>
        <color theme="5" tint="0.79998168889431442"/>
        <color theme="5" tint="0.59999389629810485"/>
        <color theme="5" tint="0.39997558519241921"/>
      </colorScale>
    </cfRule>
  </conditionalFormatting>
  <conditionalFormatting sqref="R25:U40">
    <cfRule type="colorScale" priority="1">
      <colorScale>
        <cfvo type="percentile" val="25"/>
        <cfvo type="percentile" val="50"/>
        <cfvo type="percentile" val="75"/>
        <color theme="9" tint="0.79998168889431442"/>
        <color theme="9" tint="0.59999389629810485"/>
        <color theme="9" tint="0.39997558519241921"/>
      </colorScale>
    </cfRule>
  </conditionalFormatting>
  <hyperlinks>
    <hyperlink ref="E1" location="INDICE!A1" display="INDI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208"/>
  <sheetViews>
    <sheetView workbookViewId="0">
      <selection activeCell="J1" sqref="J1"/>
    </sheetView>
  </sheetViews>
  <sheetFormatPr baseColWidth="10" defaultRowHeight="15" x14ac:dyDescent="0.25"/>
  <cols>
    <col min="2" max="2" width="19.140625" customWidth="1"/>
    <col min="7" max="8" width="17.42578125" customWidth="1"/>
    <col min="9" max="9" width="13.42578125" customWidth="1"/>
    <col min="13" max="13" width="19" customWidth="1"/>
    <col min="14" max="14" width="15.42578125" customWidth="1"/>
    <col min="15" max="15" width="19.42578125" customWidth="1"/>
    <col min="16" max="16" width="14.5703125" customWidth="1"/>
    <col min="20" max="20" width="17.85546875" customWidth="1"/>
    <col min="21" max="21" width="16.85546875" customWidth="1"/>
    <col min="22" max="22" width="16.5703125" customWidth="1"/>
    <col min="27" max="27" width="16.5703125" customWidth="1"/>
  </cols>
  <sheetData>
    <row r="1" spans="2:27" ht="25.5" customHeight="1" x14ac:dyDescent="0.25">
      <c r="C1" s="2" t="s">
        <v>0</v>
      </c>
      <c r="D1" s="176" t="s">
        <v>1</v>
      </c>
      <c r="F1" s="212" t="s">
        <v>233</v>
      </c>
      <c r="G1" s="213" t="s">
        <v>234</v>
      </c>
    </row>
    <row r="2" spans="2:27" ht="25.5" customHeight="1" x14ac:dyDescent="0.25">
      <c r="C2" s="2"/>
      <c r="D2" s="176"/>
    </row>
    <row r="3" spans="2:27" ht="18.75" x14ac:dyDescent="0.3">
      <c r="B3" s="205" t="s">
        <v>258</v>
      </c>
      <c r="C3" s="2"/>
      <c r="D3" s="176"/>
    </row>
    <row r="4" spans="2:27" ht="31.5" customHeight="1" x14ac:dyDescent="0.25">
      <c r="B4" s="303" t="s">
        <v>2</v>
      </c>
      <c r="C4" s="303" t="s">
        <v>235</v>
      </c>
      <c r="D4" s="303"/>
      <c r="E4" s="304" t="s">
        <v>3</v>
      </c>
      <c r="F4" s="304"/>
      <c r="G4" s="304" t="s">
        <v>236</v>
      </c>
      <c r="H4" s="304"/>
      <c r="I4" s="304" t="s">
        <v>237</v>
      </c>
      <c r="J4" s="304"/>
      <c r="K4" s="235" t="s">
        <v>270</v>
      </c>
      <c r="M4" s="218" t="s">
        <v>264</v>
      </c>
      <c r="S4" s="218" t="s">
        <v>265</v>
      </c>
    </row>
    <row r="5" spans="2:27" ht="45" x14ac:dyDescent="0.25">
      <c r="B5" s="303"/>
      <c r="C5" s="202">
        <v>2019</v>
      </c>
      <c r="D5" s="203">
        <v>2020</v>
      </c>
      <c r="E5" s="202">
        <v>2019</v>
      </c>
      <c r="F5" s="202">
        <v>2020</v>
      </c>
      <c r="G5" s="203">
        <v>2019</v>
      </c>
      <c r="H5" s="203">
        <v>2020</v>
      </c>
      <c r="I5" s="202" t="s">
        <v>4</v>
      </c>
      <c r="J5" s="204" t="s">
        <v>5</v>
      </c>
      <c r="K5" s="222" t="s">
        <v>5</v>
      </c>
      <c r="M5" s="214" t="s">
        <v>160</v>
      </c>
      <c r="N5" s="216" t="s">
        <v>239</v>
      </c>
      <c r="O5" s="214" t="s">
        <v>240</v>
      </c>
      <c r="P5" s="214" t="s">
        <v>241</v>
      </c>
      <c r="S5" s="214" t="s">
        <v>160</v>
      </c>
      <c r="T5" s="214" t="s">
        <v>248</v>
      </c>
      <c r="U5" s="214" t="s">
        <v>240</v>
      </c>
      <c r="V5" s="214" t="s">
        <v>263</v>
      </c>
      <c r="Y5" s="214" t="s">
        <v>160</v>
      </c>
      <c r="Z5" s="216" t="s">
        <v>240</v>
      </c>
      <c r="AA5" s="216" t="s">
        <v>271</v>
      </c>
    </row>
    <row r="6" spans="2:27" x14ac:dyDescent="0.25">
      <c r="B6" s="95" t="s">
        <v>49</v>
      </c>
      <c r="C6" s="96">
        <f>C78+C150+'CAS-REPR'!B8+'NOG-REPR'!B8</f>
        <v>167193.09000000003</v>
      </c>
      <c r="D6" s="96">
        <f>D78+D150+'CAS-REPR'!C8+'NOG-REPR'!C8</f>
        <v>177421.82999999984</v>
      </c>
      <c r="E6" s="96">
        <f>E78+E150+'CAS-REPR'!D8+'NOG-REPR'!D8</f>
        <v>229098.76550000001</v>
      </c>
      <c r="F6" s="96">
        <f>F78+F150+'CAS-REPR'!E8+'NOG-REPR'!E8</f>
        <v>241932.4498</v>
      </c>
      <c r="G6" s="101">
        <f>C6/E6</f>
        <v>0.72978607996907785</v>
      </c>
      <c r="H6" s="101">
        <f>D6/F6</f>
        <v>0.73335276084985868</v>
      </c>
      <c r="I6" s="96">
        <f>D6-C6</f>
        <v>10228.739999999816</v>
      </c>
      <c r="J6" s="101">
        <f>D6/C6-1</f>
        <v>6.1179203040028884E-2</v>
      </c>
      <c r="K6" s="223">
        <f>F6/E6-1</f>
        <v>5.6018129438589304E-2</v>
      </c>
      <c r="M6" s="215" t="s">
        <v>242</v>
      </c>
      <c r="N6" s="14">
        <f>'ALM-REPR'!G64+'ALM-REPR'!G124</f>
        <v>718540</v>
      </c>
      <c r="O6" s="14">
        <f>'ALM-REPR'!E124+'ALM-REPR'!E64</f>
        <v>596525.7799999998</v>
      </c>
      <c r="P6" s="166">
        <f>IFERROR(O6/N6,"")</f>
        <v>0.83019147159517881</v>
      </c>
      <c r="S6" s="215" t="s">
        <v>242</v>
      </c>
      <c r="T6" s="14">
        <f>'ALM-REPR'!D64+'ALM-REPR'!D124</f>
        <v>559295.72</v>
      </c>
      <c r="U6" s="14">
        <f>'ALM-REPR'!E64+'ALM-REPR'!E124</f>
        <v>596525.7799999998</v>
      </c>
      <c r="V6" s="175">
        <f>IFERROR(U6/T6-1,"")</f>
        <v>6.656596621193489E-2</v>
      </c>
      <c r="Y6" s="215" t="s">
        <v>242</v>
      </c>
      <c r="Z6" s="14">
        <f>U6</f>
        <v>596525.7799999998</v>
      </c>
      <c r="AA6" s="162">
        <f>N6</f>
        <v>718540</v>
      </c>
    </row>
    <row r="7" spans="2:27" ht="14.45" customHeight="1" x14ac:dyDescent="0.25">
      <c r="B7" s="156" t="s">
        <v>11</v>
      </c>
      <c r="C7" s="109">
        <f>C79+C151+'CAS-REPR'!B9+'NOG-REPR'!B9</f>
        <v>43936.29</v>
      </c>
      <c r="D7" s="109">
        <f>D79+D151+'CAS-REPR'!C9+'NOG-REPR'!C9</f>
        <v>44527.559999999925</v>
      </c>
      <c r="E7" s="109">
        <f>E79+E151+'CAS-REPR'!D9+'NOG-REPR'!D9</f>
        <v>57808.161</v>
      </c>
      <c r="F7" s="109">
        <f>F79+F151+'CAS-REPR'!E9+'NOG-REPR'!E9</f>
        <v>58799.548600000002</v>
      </c>
      <c r="G7" s="155">
        <f t="shared" ref="G7:G14" si="0">C7/E7</f>
        <v>0.76003611324013576</v>
      </c>
      <c r="H7" s="155">
        <f t="shared" ref="H7:H14" si="1">D7/F7</f>
        <v>0.75727724209093539</v>
      </c>
      <c r="I7" s="71">
        <f t="shared" ref="I7:I14" si="2">D7-C7</f>
        <v>591.26999999992404</v>
      </c>
      <c r="J7" s="155">
        <f t="shared" ref="J7:J14" si="3">D7/C7-1</f>
        <v>1.3457440307315993E-2</v>
      </c>
      <c r="K7" s="224">
        <f t="shared" ref="K7:K70" si="4">F7/E7-1</f>
        <v>1.7149613183508938E-2</v>
      </c>
      <c r="M7" s="215" t="s">
        <v>243</v>
      </c>
      <c r="N7" s="14">
        <f>'PIS-REPR'!E118+'PIS-REPR'!E62</f>
        <v>49534</v>
      </c>
      <c r="O7" s="14">
        <f>'PIS-REPR'!C62+'PIS-REPR'!C118</f>
        <v>48238.960000000006</v>
      </c>
      <c r="P7" s="166">
        <f t="shared" ref="P7:P12" si="5">IFERROR(O7/N7,"")</f>
        <v>0.97385553357289956</v>
      </c>
      <c r="S7" s="215" t="s">
        <v>243</v>
      </c>
      <c r="T7" s="14">
        <f>'PIS-REPR'!B118+'PIS-REPR'!B62</f>
        <v>38331.620000000003</v>
      </c>
      <c r="U7" s="14">
        <f>'PIS-REPR'!C118+'PIS-REPR'!C62</f>
        <v>48238.960000000006</v>
      </c>
      <c r="V7" s="175">
        <f t="shared" ref="V7:V12" si="6">IFERROR(U7/T7-1,"")</f>
        <v>0.2584639000386626</v>
      </c>
      <c r="Y7" s="215" t="s">
        <v>243</v>
      </c>
      <c r="Z7" s="14">
        <f t="shared" ref="Z7:Z11" si="7">U7</f>
        <v>48238.960000000006</v>
      </c>
      <c r="AA7" s="162">
        <f t="shared" ref="AA7:AA11" si="8">N7</f>
        <v>49534</v>
      </c>
    </row>
    <row r="8" spans="2:27" x14ac:dyDescent="0.25">
      <c r="B8" s="13" t="s">
        <v>12</v>
      </c>
      <c r="C8" s="14">
        <f>C80+C152+'CAS-REPR'!B10+'NOG-REPR'!B10</f>
        <v>1219.23</v>
      </c>
      <c r="D8" s="14">
        <f>D80+D152+'CAS-REPR'!C10+'NOG-REPR'!C10</f>
        <v>1746.07</v>
      </c>
      <c r="E8" s="14">
        <f>E80+E152+'CAS-REPR'!D10+'NOG-REPR'!D10</f>
        <v>2698.0391</v>
      </c>
      <c r="F8" s="14">
        <f>F80+F152+'CAS-REPR'!E10+'NOG-REPR'!E10</f>
        <v>3289.9584</v>
      </c>
      <c r="G8" s="155">
        <f t="shared" si="0"/>
        <v>0.45189485949258484</v>
      </c>
      <c r="H8" s="155">
        <f t="shared" si="1"/>
        <v>0.53072707545481423</v>
      </c>
      <c r="I8" s="71">
        <f t="shared" si="2"/>
        <v>526.83999999999992</v>
      </c>
      <c r="J8" s="155">
        <f t="shared" si="3"/>
        <v>0.43210878997399993</v>
      </c>
      <c r="K8" s="224">
        <f t="shared" si="4"/>
        <v>0.21938870344762607</v>
      </c>
      <c r="M8" s="215" t="s">
        <v>244</v>
      </c>
      <c r="N8" s="14">
        <f>'AVE-REPR'!E55+'AVE-REPR'!E90</f>
        <v>13067</v>
      </c>
      <c r="O8" s="14">
        <f>'AVE-REPR'!C55+'AVE-REPR'!C90</f>
        <v>10222.830000000004</v>
      </c>
      <c r="P8" s="166">
        <f t="shared" si="5"/>
        <v>0.78233948113568563</v>
      </c>
      <c r="S8" s="215" t="s">
        <v>244</v>
      </c>
      <c r="T8" s="14">
        <f>'AVE-REPR'!B90+'AVE-REPR'!B55</f>
        <v>10578.050000000001</v>
      </c>
      <c r="U8" s="14">
        <f>'AVE-REPR'!C90+'AVE-REPR'!C55</f>
        <v>10222.830000000004</v>
      </c>
      <c r="V8" s="175">
        <f t="shared" si="6"/>
        <v>-3.358085847580583E-2</v>
      </c>
      <c r="Y8" s="215" t="s">
        <v>244</v>
      </c>
      <c r="Z8" s="14">
        <f t="shared" si="7"/>
        <v>10222.830000000004</v>
      </c>
      <c r="AA8" s="162">
        <f t="shared" si="8"/>
        <v>13067</v>
      </c>
    </row>
    <row r="9" spans="2:27" ht="14.45" customHeight="1" x14ac:dyDescent="0.25">
      <c r="B9" s="13" t="s">
        <v>13</v>
      </c>
      <c r="C9" s="14">
        <f>C81+C153+'NOG-REPR'!B11</f>
        <v>7359.5300000000007</v>
      </c>
      <c r="D9" s="14">
        <f>D81+D153+'NOG-REPR'!C11</f>
        <v>10610.330000000005</v>
      </c>
      <c r="E9" s="14">
        <f>E81+E153+'NOG-REPR'!D11</f>
        <v>7308</v>
      </c>
      <c r="F9" s="14">
        <f>F81+F153+'NOG-REPR'!E11</f>
        <v>10789</v>
      </c>
      <c r="G9" s="155">
        <f t="shared" si="0"/>
        <v>1.0070511767925563</v>
      </c>
      <c r="H9" s="155">
        <f t="shared" si="1"/>
        <v>0.98343961442209704</v>
      </c>
      <c r="I9" s="71">
        <f t="shared" si="2"/>
        <v>3250.8000000000047</v>
      </c>
      <c r="J9" s="155">
        <f t="shared" si="3"/>
        <v>0.44171298982407903</v>
      </c>
      <c r="K9" s="224">
        <f t="shared" si="4"/>
        <v>0.47632731253420912</v>
      </c>
      <c r="M9" s="215" t="s">
        <v>261</v>
      </c>
      <c r="N9" s="14">
        <f>'ALG-REPR'!E35+'ALG-REPR'!E62</f>
        <v>42539.060800000014</v>
      </c>
      <c r="O9" s="14">
        <f>'ALG-REPR'!C62+'ALG-REPR'!C35</f>
        <v>15087.090000000004</v>
      </c>
      <c r="P9" s="166">
        <f t="shared" si="5"/>
        <v>0.35466438882919576</v>
      </c>
      <c r="S9" s="215" t="s">
        <v>245</v>
      </c>
      <c r="T9" s="14">
        <f>'ALG-REPR'!B62+'ALG-REPR'!B35</f>
        <v>13896.249999999998</v>
      </c>
      <c r="U9" s="14">
        <f>'ALG-REPR'!C62+'ALG-REPR'!C35</f>
        <v>15087.090000000004</v>
      </c>
      <c r="V9" s="175">
        <f t="shared" si="6"/>
        <v>8.5695061617343304E-2</v>
      </c>
      <c r="Y9" s="215" t="s">
        <v>245</v>
      </c>
      <c r="Z9" s="14">
        <f t="shared" si="7"/>
        <v>15087.090000000004</v>
      </c>
      <c r="AA9" s="162">
        <f t="shared" si="8"/>
        <v>42539.060800000014</v>
      </c>
    </row>
    <row r="10" spans="2:27" x14ac:dyDescent="0.25">
      <c r="B10" s="13" t="s">
        <v>14</v>
      </c>
      <c r="C10" s="14">
        <f>C82+C154+'CAS-REPR'!B11+'NOG-REPR'!B12</f>
        <v>86842.650000000038</v>
      </c>
      <c r="D10" s="14">
        <f>D82+D154+'CAS-REPR'!C11+'NOG-REPR'!C12</f>
        <v>89342.56999999992</v>
      </c>
      <c r="E10" s="14">
        <f>E82+E154+'CAS-REPR'!D11+'NOG-REPR'!D12</f>
        <v>113803.4164</v>
      </c>
      <c r="F10" s="14">
        <f>F82+F154+'CAS-REPR'!E11+'NOG-REPR'!E12</f>
        <v>119845.4446</v>
      </c>
      <c r="G10" s="155">
        <f t="shared" si="0"/>
        <v>0.76309352343837045</v>
      </c>
      <c r="H10" s="155">
        <f t="shared" si="1"/>
        <v>0.7454815683499072</v>
      </c>
      <c r="I10" s="71">
        <f t="shared" si="2"/>
        <v>2499.9199999998818</v>
      </c>
      <c r="J10" s="155">
        <f t="shared" si="3"/>
        <v>2.8786777004154995E-2</v>
      </c>
      <c r="K10" s="224">
        <f t="shared" si="4"/>
        <v>5.3091799799430239E-2</v>
      </c>
      <c r="M10" s="215" t="s">
        <v>246</v>
      </c>
      <c r="N10" s="14">
        <f>'CAS-REPR'!E55</f>
        <v>37779</v>
      </c>
      <c r="O10" s="14">
        <f>'CAS-REPR'!C55</f>
        <v>9700.739999999998</v>
      </c>
      <c r="P10" s="166">
        <f t="shared" si="5"/>
        <v>0.25677598665925511</v>
      </c>
      <c r="S10" s="215" t="s">
        <v>246</v>
      </c>
      <c r="T10" s="14">
        <f>'CAS-REPR'!B55</f>
        <v>9128.3000000000029</v>
      </c>
      <c r="U10" s="14">
        <f>'CAS-REPR'!C55</f>
        <v>9700.739999999998</v>
      </c>
      <c r="V10" s="175">
        <f t="shared" si="6"/>
        <v>6.2710471829365177E-2</v>
      </c>
      <c r="Y10" s="215" t="s">
        <v>246</v>
      </c>
      <c r="Z10" s="14">
        <f t="shared" si="7"/>
        <v>9700.739999999998</v>
      </c>
      <c r="AA10" s="162">
        <f t="shared" si="8"/>
        <v>37779</v>
      </c>
    </row>
    <row r="11" spans="2:27" ht="14.45" customHeight="1" x14ac:dyDescent="0.25">
      <c r="B11" s="13" t="s">
        <v>15</v>
      </c>
      <c r="C11" s="14">
        <f>C83+C155+'CAS-REPR'!B12+'NOG-REPR'!B13</f>
        <v>4128.88</v>
      </c>
      <c r="D11" s="14">
        <f>D83+D155+'CAS-REPR'!C12+'NOG-REPR'!C13</f>
        <v>4379.87</v>
      </c>
      <c r="E11" s="14">
        <f>E83+E155+'CAS-REPR'!D12+'NOG-REPR'!D13</f>
        <v>6261</v>
      </c>
      <c r="F11" s="14">
        <f>F83+F155+'CAS-REPR'!E12+'NOG-REPR'!E13</f>
        <v>6505</v>
      </c>
      <c r="G11" s="155">
        <f t="shared" si="0"/>
        <v>0.65946015013576109</v>
      </c>
      <c r="H11" s="155">
        <f t="shared" si="1"/>
        <v>0.6733082244427363</v>
      </c>
      <c r="I11" s="71">
        <f t="shared" si="2"/>
        <v>250.98999999999978</v>
      </c>
      <c r="J11" s="155">
        <f t="shared" si="3"/>
        <v>6.0788882215031537E-2</v>
      </c>
      <c r="K11" s="224">
        <f t="shared" si="4"/>
        <v>3.8971410317840682E-2</v>
      </c>
      <c r="M11" s="215" t="s">
        <v>247</v>
      </c>
      <c r="N11" s="14">
        <f>'NOG-REPR'!E75</f>
        <v>12290</v>
      </c>
      <c r="O11" s="14">
        <f>'NOG-REPR'!C75</f>
        <v>9551.43</v>
      </c>
      <c r="P11" s="166">
        <f t="shared" si="5"/>
        <v>0.77717087062652568</v>
      </c>
      <c r="S11" s="215" t="s">
        <v>247</v>
      </c>
      <c r="T11" s="14">
        <f>'NOG-REPR'!B75</f>
        <v>8899.6900000000023</v>
      </c>
      <c r="U11" s="14">
        <f>'NOG-REPR'!C75</f>
        <v>9551.43</v>
      </c>
      <c r="V11" s="175">
        <f t="shared" si="6"/>
        <v>7.3231764252462472E-2</v>
      </c>
      <c r="Y11" s="215" t="s">
        <v>247</v>
      </c>
      <c r="Z11" s="14">
        <f t="shared" si="7"/>
        <v>9551.43</v>
      </c>
      <c r="AA11" s="162">
        <f t="shared" si="8"/>
        <v>12290</v>
      </c>
    </row>
    <row r="12" spans="2:27" x14ac:dyDescent="0.25">
      <c r="B12" s="13" t="s">
        <v>16</v>
      </c>
      <c r="C12" s="14">
        <f>C84+C156+'CAS-REPR'!B13+'NOG-REPR'!B14</f>
        <v>4356.2900000000009</v>
      </c>
      <c r="D12" s="14">
        <f>D84+D156+'CAS-REPR'!C13+'NOG-REPR'!C14</f>
        <v>4992.670000000001</v>
      </c>
      <c r="E12" s="14">
        <f>E84+E156+'CAS-REPR'!D13+'NOG-REPR'!D14</f>
        <v>5958</v>
      </c>
      <c r="F12" s="14">
        <f>F84+F156+'CAS-REPR'!E13+'NOG-REPR'!E14</f>
        <v>6546</v>
      </c>
      <c r="G12" s="155">
        <f t="shared" si="0"/>
        <v>0.7311664988251092</v>
      </c>
      <c r="H12" s="155">
        <f t="shared" si="1"/>
        <v>0.76270546898869551</v>
      </c>
      <c r="I12" s="71">
        <f t="shared" si="2"/>
        <v>636.38000000000011</v>
      </c>
      <c r="J12" s="155">
        <f t="shared" si="3"/>
        <v>0.14608302018460662</v>
      </c>
      <c r="K12" s="224">
        <f t="shared" si="4"/>
        <v>9.8690835850956615E-2</v>
      </c>
      <c r="M12" s="219" t="s">
        <v>160</v>
      </c>
      <c r="N12" s="220">
        <f>SUM(N6:N11)</f>
        <v>873749.06079999998</v>
      </c>
      <c r="O12" s="220">
        <f>SUM(O6:O11)</f>
        <v>689326.82999999973</v>
      </c>
      <c r="P12" s="46">
        <f t="shared" si="5"/>
        <v>0.78892998107357704</v>
      </c>
      <c r="S12" s="219" t="s">
        <v>160</v>
      </c>
      <c r="T12" s="220">
        <f>SUM(T6:T11)</f>
        <v>640129.63000000012</v>
      </c>
      <c r="U12" s="220">
        <f>SUM(U6:U11)</f>
        <v>689326.82999999973</v>
      </c>
      <c r="V12" s="46">
        <f t="shared" si="6"/>
        <v>7.6855058248123331E-2</v>
      </c>
    </row>
    <row r="13" spans="2:27" x14ac:dyDescent="0.25">
      <c r="B13" s="13" t="s">
        <v>17</v>
      </c>
      <c r="C13" s="14">
        <f>C85+C157+'CAS-REPR'!B14+'NOG-REPR'!B15</f>
        <v>9232.0800000000017</v>
      </c>
      <c r="D13" s="14">
        <f>D85+D157+'CAS-REPR'!C14+'NOG-REPR'!C15</f>
        <v>9506.1099999999951</v>
      </c>
      <c r="E13" s="14">
        <f>E85+E157+'CAS-REPR'!D14+'NOG-REPR'!D15</f>
        <v>23334.107499999998</v>
      </c>
      <c r="F13" s="14">
        <f>F85+F157+'CAS-REPR'!E14+'NOG-REPR'!E15</f>
        <v>23630.457600000002</v>
      </c>
      <c r="G13" s="155">
        <f t="shared" si="0"/>
        <v>0.39564744441157657</v>
      </c>
      <c r="H13" s="155">
        <f t="shared" si="1"/>
        <v>0.40228209545971699</v>
      </c>
      <c r="I13" s="71">
        <f t="shared" si="2"/>
        <v>274.02999999999338</v>
      </c>
      <c r="J13" s="155">
        <f t="shared" si="3"/>
        <v>2.9682368437014661E-2</v>
      </c>
      <c r="K13" s="224">
        <f t="shared" si="4"/>
        <v>1.270029719371113E-2</v>
      </c>
      <c r="M13" s="217" t="s">
        <v>262</v>
      </c>
    </row>
    <row r="14" spans="2:27" x14ac:dyDescent="0.25">
      <c r="B14" s="13" t="s">
        <v>18</v>
      </c>
      <c r="C14" s="14">
        <f>C86+C158+'CAS-REPR'!B15+'NOG-REPR'!B16</f>
        <v>10432.049999999999</v>
      </c>
      <c r="D14" s="14">
        <f>D86+D158+'CAS-REPR'!C15+'NOG-REPR'!C16</f>
        <v>12712.819999999998</v>
      </c>
      <c r="E14" s="14">
        <f>E86+E158+'CAS-REPR'!D15+'NOG-REPR'!D16</f>
        <v>11928.041499999999</v>
      </c>
      <c r="F14" s="14">
        <f>F86+F158+'CAS-REPR'!E15+'NOG-REPR'!E16</f>
        <v>12920.0406</v>
      </c>
      <c r="G14" s="155">
        <f t="shared" si="0"/>
        <v>0.87458196720727366</v>
      </c>
      <c r="H14" s="155">
        <f t="shared" si="1"/>
        <v>0.98396130427020467</v>
      </c>
      <c r="I14" s="71">
        <f t="shared" si="2"/>
        <v>2280.7699999999986</v>
      </c>
      <c r="J14" s="155">
        <f t="shared" si="3"/>
        <v>0.21863104567175173</v>
      </c>
      <c r="K14" s="224">
        <f t="shared" si="4"/>
        <v>8.3165295828321995E-2</v>
      </c>
    </row>
    <row r="15" spans="2:27" x14ac:dyDescent="0.25">
      <c r="B15" s="95" t="s">
        <v>50</v>
      </c>
      <c r="C15" s="96">
        <f>C87+C159+'CAS-REPR'!B16+'NOG-REPR'!B17</f>
        <v>65842.840000000011</v>
      </c>
      <c r="D15" s="96">
        <f>D87+D159+'CAS-REPR'!C16+'NOG-REPR'!C17</f>
        <v>79351.63999999997</v>
      </c>
      <c r="E15" s="96">
        <f>E87+E159+'CAS-REPR'!D16+'NOG-REPR'!D17</f>
        <v>79172</v>
      </c>
      <c r="F15" s="96">
        <f>F87+F159+'CAS-REPR'!E16+'NOG-REPR'!E17</f>
        <v>85428</v>
      </c>
      <c r="G15" s="101">
        <f t="shared" ref="G15:G29" si="9">C15/E15</f>
        <v>0.8316430051028143</v>
      </c>
      <c r="H15" s="101">
        <f t="shared" ref="H15:H29" si="10">D15/F15</f>
        <v>0.92887156435828966</v>
      </c>
      <c r="I15" s="96">
        <f t="shared" ref="I15:I29" si="11">D15-C15</f>
        <v>13508.799999999959</v>
      </c>
      <c r="J15" s="101">
        <f t="shared" ref="J15:J29" si="12">D15/C15-1</f>
        <v>0.20516733482334537</v>
      </c>
      <c r="K15" s="223">
        <f t="shared" si="4"/>
        <v>7.9017834587985725E-2</v>
      </c>
    </row>
    <row r="16" spans="2:27" x14ac:dyDescent="0.25">
      <c r="B16" s="13" t="s">
        <v>19</v>
      </c>
      <c r="C16" s="71">
        <f>C88+C160+'CAS-REPR'!B17+'NOG-REPR'!B18</f>
        <v>13947.059999999998</v>
      </c>
      <c r="D16" s="71">
        <f>D88+D160+'CAS-REPR'!C17+'NOG-REPR'!C18</f>
        <v>15611.360000000006</v>
      </c>
      <c r="E16" s="71">
        <f>E88+E160+'CAS-REPR'!D17+'NOG-REPR'!D18</f>
        <v>15196</v>
      </c>
      <c r="F16" s="71">
        <f>F88+F160+'CAS-REPR'!E17+'NOG-REPR'!E18</f>
        <v>19372</v>
      </c>
      <c r="G16" s="155">
        <f t="shared" si="9"/>
        <v>0.91781126612266373</v>
      </c>
      <c r="H16" s="155">
        <f t="shared" si="10"/>
        <v>0.80587239314474535</v>
      </c>
      <c r="I16" s="71">
        <f t="shared" si="11"/>
        <v>1664.3000000000084</v>
      </c>
      <c r="J16" s="155">
        <f t="shared" si="12"/>
        <v>0.11932980857614495</v>
      </c>
      <c r="K16" s="224">
        <f t="shared" si="4"/>
        <v>0.27480916030534353</v>
      </c>
    </row>
    <row r="17" spans="2:13" x14ac:dyDescent="0.25">
      <c r="B17" s="13" t="s">
        <v>20</v>
      </c>
      <c r="C17" s="71">
        <f>C89+C161+'CAS-REPR'!B18+'NOG-REPR'!B19</f>
        <v>19487.969999999998</v>
      </c>
      <c r="D17" s="71">
        <f>D89+D161+'CAS-REPR'!C18+'NOG-REPR'!C19</f>
        <v>20475.48999999998</v>
      </c>
      <c r="E17" s="71">
        <f>E89+E161+'CAS-REPR'!D18+'NOG-REPR'!D19</f>
        <v>22158</v>
      </c>
      <c r="F17" s="71">
        <f>F89+F161+'CAS-REPR'!E18+'NOG-REPR'!E19</f>
        <v>23018</v>
      </c>
      <c r="G17" s="155">
        <f t="shared" si="9"/>
        <v>0.87950040617384229</v>
      </c>
      <c r="H17" s="155">
        <f t="shared" si="10"/>
        <v>0.88954253193153099</v>
      </c>
      <c r="I17" s="71">
        <f t="shared" si="11"/>
        <v>987.51999999998225</v>
      </c>
      <c r="J17" s="155">
        <f t="shared" si="12"/>
        <v>5.0673312818112048E-2</v>
      </c>
      <c r="K17" s="224">
        <f t="shared" si="4"/>
        <v>3.881216716310143E-2</v>
      </c>
    </row>
    <row r="18" spans="2:13" x14ac:dyDescent="0.25">
      <c r="B18" s="13" t="s">
        <v>21</v>
      </c>
      <c r="C18" s="71">
        <f>C90+C162+'CAS-REPR'!B19+'NOG-REPR'!B20</f>
        <v>32613.560000000005</v>
      </c>
      <c r="D18" s="71">
        <f>D90+D162+'CAS-REPR'!C19+'NOG-REPR'!C20</f>
        <v>43491.949999999961</v>
      </c>
      <c r="E18" s="71">
        <f>E90+E162+'CAS-REPR'!D19+'NOG-REPR'!D20</f>
        <v>41863</v>
      </c>
      <c r="F18" s="71">
        <f>F90+F162+'CAS-REPR'!E19+'NOG-REPR'!E20</f>
        <v>43276</v>
      </c>
      <c r="G18" s="155">
        <f t="shared" si="9"/>
        <v>0.77905453503093436</v>
      </c>
      <c r="H18" s="155">
        <f t="shared" si="10"/>
        <v>1.0049900637766882</v>
      </c>
      <c r="I18" s="71">
        <f t="shared" si="11"/>
        <v>10878.389999999956</v>
      </c>
      <c r="J18" s="155">
        <f t="shared" si="12"/>
        <v>0.33355420260774826</v>
      </c>
      <c r="K18" s="224">
        <f t="shared" si="4"/>
        <v>3.3752956070993489E-2</v>
      </c>
    </row>
    <row r="19" spans="2:13" x14ac:dyDescent="0.25">
      <c r="B19" s="95" t="s">
        <v>63</v>
      </c>
      <c r="C19" s="96">
        <f>C91+'CAS-REPR'!B20+'NOG-REPR'!B21</f>
        <v>23.59</v>
      </c>
      <c r="D19" s="96">
        <f>D91+'CAS-REPR'!C20+'NOG-REPR'!C21</f>
        <v>26.32</v>
      </c>
      <c r="E19" s="96">
        <f>E91+'CAS-REPR'!D20+'NOG-REPR'!D21</f>
        <v>0</v>
      </c>
      <c r="F19" s="96">
        <f>F91+'CAS-REPR'!E20+'NOG-REPR'!E21</f>
        <v>0</v>
      </c>
      <c r="G19" s="101" t="e">
        <f t="shared" si="9"/>
        <v>#DIV/0!</v>
      </c>
      <c r="H19" s="101" t="e">
        <f t="shared" si="10"/>
        <v>#DIV/0!</v>
      </c>
      <c r="I19" s="96">
        <f t="shared" si="11"/>
        <v>2.7300000000000004</v>
      </c>
      <c r="J19" s="101">
        <f t="shared" si="12"/>
        <v>0.11572700296735916</v>
      </c>
      <c r="K19" s="223" t="e">
        <f t="shared" si="4"/>
        <v>#DIV/0!</v>
      </c>
    </row>
    <row r="20" spans="2:13" x14ac:dyDescent="0.25">
      <c r="B20" s="13" t="s">
        <v>64</v>
      </c>
      <c r="C20" s="71">
        <f>C92+'CAS-REPR'!B21+'NOG-REPR'!B22</f>
        <v>23.59</v>
      </c>
      <c r="D20" s="71">
        <f>D92+'CAS-REPR'!C21+'NOG-REPR'!C22</f>
        <v>26.32</v>
      </c>
      <c r="E20" s="71">
        <f>E92+'CAS-REPR'!D21+'NOG-REPR'!D22</f>
        <v>0</v>
      </c>
      <c r="F20" s="71">
        <f>F92+'CAS-REPR'!E21+'NOG-REPR'!E22</f>
        <v>0</v>
      </c>
      <c r="G20" s="155" t="e">
        <f t="shared" si="9"/>
        <v>#DIV/0!</v>
      </c>
      <c r="H20" s="155" t="e">
        <f t="shared" si="10"/>
        <v>#DIV/0!</v>
      </c>
      <c r="I20" s="71">
        <f t="shared" si="11"/>
        <v>2.7300000000000004</v>
      </c>
      <c r="J20" s="155">
        <f t="shared" si="12"/>
        <v>0.11572700296735916</v>
      </c>
      <c r="K20" s="224" t="e">
        <f t="shared" si="4"/>
        <v>#DIV/0!</v>
      </c>
    </row>
    <row r="21" spans="2:13" x14ac:dyDescent="0.25">
      <c r="B21" s="95" t="s">
        <v>60</v>
      </c>
      <c r="C21" s="96">
        <f>C93+C163+'CAS-REPR'!B22+'NOG-REPR'!B23</f>
        <v>67414.22</v>
      </c>
      <c r="D21" s="96">
        <f>D93+D163+'CAS-REPR'!C22+'NOG-REPR'!C23</f>
        <v>69786.52999999997</v>
      </c>
      <c r="E21" s="96">
        <f>E93+E163+'CAS-REPR'!D22+'NOG-REPR'!D23</f>
        <v>111195.87149999999</v>
      </c>
      <c r="F21" s="96">
        <f>F93+F163+'CAS-REPR'!E22+'NOG-REPR'!E23</f>
        <v>111733.7531</v>
      </c>
      <c r="G21" s="101">
        <f t="shared" si="9"/>
        <v>0.60626549430839261</v>
      </c>
      <c r="H21" s="101">
        <f t="shared" si="10"/>
        <v>0.62457876929581069</v>
      </c>
      <c r="I21" s="96">
        <f t="shared" si="11"/>
        <v>2372.3099999999686</v>
      </c>
      <c r="J21" s="101">
        <f t="shared" si="12"/>
        <v>3.5190053374495323E-2</v>
      </c>
      <c r="K21" s="223">
        <f t="shared" si="4"/>
        <v>4.8372443395976461E-3</v>
      </c>
    </row>
    <row r="22" spans="2:13" x14ac:dyDescent="0.25">
      <c r="B22" s="13" t="s">
        <v>22</v>
      </c>
      <c r="C22" s="71">
        <f>C94+C164+'CAS-REPR'!B23+'NOG-REPR'!B24</f>
        <v>16002.13</v>
      </c>
      <c r="D22" s="71">
        <f>D94+D164+'CAS-REPR'!C23+'NOG-REPR'!C24</f>
        <v>16530.319999999982</v>
      </c>
      <c r="E22" s="71">
        <f>E94+E164+'CAS-REPR'!D23+'NOG-REPR'!D24</f>
        <v>23488.0821</v>
      </c>
      <c r="F22" s="71">
        <f>F94+F164+'CAS-REPR'!E23+'NOG-REPR'!E24</f>
        <v>23670.232</v>
      </c>
      <c r="G22" s="155">
        <f t="shared" si="9"/>
        <v>0.68128721331402364</v>
      </c>
      <c r="H22" s="155">
        <f t="shared" si="10"/>
        <v>0.69835901904129971</v>
      </c>
      <c r="I22" s="71">
        <f t="shared" si="11"/>
        <v>528.18999999998232</v>
      </c>
      <c r="J22" s="155">
        <f t="shared" si="12"/>
        <v>3.3007480879106765E-2</v>
      </c>
      <c r="K22" s="224">
        <f t="shared" si="4"/>
        <v>7.7549924776532109E-3</v>
      </c>
    </row>
    <row r="23" spans="2:13" x14ac:dyDescent="0.25">
      <c r="B23" s="13" t="s">
        <v>23</v>
      </c>
      <c r="C23" s="14">
        <f>C95+C165+'NOG-REPR'!B25</f>
        <v>21714.369999999995</v>
      </c>
      <c r="D23" s="14">
        <f>D95+D165+'NOG-REPR'!C25</f>
        <v>22519.03</v>
      </c>
      <c r="E23" s="14">
        <f>E95+E165+'NOG-REPR'!D25</f>
        <v>44696.089699999997</v>
      </c>
      <c r="F23" s="14">
        <f>F95+F165+'NOG-REPR'!E25</f>
        <v>44341.058600000004</v>
      </c>
      <c r="G23" s="155">
        <f t="shared" si="9"/>
        <v>0.48582258863687572</v>
      </c>
      <c r="H23" s="155">
        <f t="shared" si="10"/>
        <v>0.50785954848628712</v>
      </c>
      <c r="I23" s="71">
        <f t="shared" si="11"/>
        <v>804.66000000000349</v>
      </c>
      <c r="J23" s="155">
        <f t="shared" si="12"/>
        <v>3.7056566688326908E-2</v>
      </c>
      <c r="K23" s="224">
        <f t="shared" si="4"/>
        <v>-7.9432250647195612E-3</v>
      </c>
    </row>
    <row r="24" spans="2:13" x14ac:dyDescent="0.25">
      <c r="B24" s="13" t="s">
        <v>24</v>
      </c>
      <c r="C24" s="14">
        <f>C96+C166+'NOG-REPR'!B26</f>
        <v>29957.55</v>
      </c>
      <c r="D24" s="14">
        <f>D96+D166+'NOG-REPR'!C26</f>
        <v>31066.54</v>
      </c>
      <c r="E24" s="14">
        <f>E96+E166+'NOG-REPR'!D26</f>
        <v>43042.699699999997</v>
      </c>
      <c r="F24" s="14">
        <f>F96+F166+'NOG-REPR'!E26</f>
        <v>44050.462500000001</v>
      </c>
      <c r="G24" s="155">
        <f t="shared" si="9"/>
        <v>0.6959960738708032</v>
      </c>
      <c r="H24" s="155">
        <f t="shared" si="10"/>
        <v>0.70524889494633569</v>
      </c>
      <c r="I24" s="71">
        <f t="shared" si="11"/>
        <v>1108.9900000000016</v>
      </c>
      <c r="J24" s="155">
        <f t="shared" si="12"/>
        <v>3.7018714814796239E-2</v>
      </c>
      <c r="K24" s="224">
        <f t="shared" si="4"/>
        <v>2.3413094601963502E-2</v>
      </c>
    </row>
    <row r="25" spans="2:13" x14ac:dyDescent="0.25">
      <c r="B25" s="95" t="s">
        <v>51</v>
      </c>
      <c r="C25" s="96">
        <f>C97+C167+'CAS-REPR'!B34+'NOG-REPR'!B45</f>
        <v>49177.090000000004</v>
      </c>
      <c r="D25" s="96">
        <f>D97+D167+'CAS-REPR'!C34+'NOG-REPR'!C45</f>
        <v>49086.629999999983</v>
      </c>
      <c r="E25" s="96">
        <f>E97+E167+'CAS-REPR'!D34+'NOG-REPR'!D45</f>
        <v>59121.624300000003</v>
      </c>
      <c r="F25" s="96">
        <f>F97+F167+'CAS-REPR'!E34+'NOG-REPR'!E45</f>
        <v>59521.7255</v>
      </c>
      <c r="G25" s="101">
        <f t="shared" si="9"/>
        <v>0.83179531317443867</v>
      </c>
      <c r="H25" s="101">
        <f t="shared" si="10"/>
        <v>0.82468425751535013</v>
      </c>
      <c r="I25" s="96">
        <f t="shared" si="11"/>
        <v>-90.460000000020955</v>
      </c>
      <c r="J25" s="101">
        <f t="shared" si="12"/>
        <v>-1.8394744381992068E-3</v>
      </c>
      <c r="K25" s="223">
        <f t="shared" si="4"/>
        <v>6.7674257048448982E-3</v>
      </c>
    </row>
    <row r="26" spans="2:13" x14ac:dyDescent="0.25">
      <c r="B26" s="13" t="s">
        <v>25</v>
      </c>
      <c r="C26" s="71">
        <f>C98+C168+'CAS-REPR'!B35+'NOG-REPR'!B46</f>
        <v>904.69000000000017</v>
      </c>
      <c r="D26" s="71">
        <f>D98+D168+'CAS-REPR'!C35+'NOG-REPR'!C46</f>
        <v>902.31000000000017</v>
      </c>
      <c r="E26" s="71">
        <f>E98+E168+'CAS-REPR'!D35+'NOG-REPR'!D46</f>
        <v>882.37509999999997</v>
      </c>
      <c r="F26" s="71">
        <f>F98+F168+'CAS-REPR'!E35+'NOG-REPR'!E46</f>
        <v>898.375</v>
      </c>
      <c r="G26" s="155">
        <f t="shared" si="9"/>
        <v>1.0252895848942249</v>
      </c>
      <c r="H26" s="155">
        <f t="shared" si="10"/>
        <v>1.0043801307917075</v>
      </c>
      <c r="I26" s="71">
        <f t="shared" si="11"/>
        <v>-2.3799999999999955</v>
      </c>
      <c r="J26" s="155">
        <f t="shared" si="12"/>
        <v>-2.6307353900231201E-3</v>
      </c>
      <c r="K26" s="224">
        <f t="shared" si="4"/>
        <v>1.8132764625837794E-2</v>
      </c>
    </row>
    <row r="27" spans="2:13" x14ac:dyDescent="0.25">
      <c r="B27" s="13" t="s">
        <v>26</v>
      </c>
      <c r="C27" s="71">
        <f>C99+C169+'CAS-REPR'!B36+'NOG-REPR'!B47</f>
        <v>1270.4300000000003</v>
      </c>
      <c r="D27" s="71">
        <f>D99+D169+'CAS-REPR'!C36+'NOG-REPR'!C47</f>
        <v>1352.8</v>
      </c>
      <c r="E27" s="71">
        <f>E99+E169+'CAS-REPR'!D36+'NOG-REPR'!D47</f>
        <v>1254.6378</v>
      </c>
      <c r="F27" s="71">
        <f>F99+F169+'CAS-REPR'!E36+'NOG-REPR'!E47</f>
        <v>1640.6363000000001</v>
      </c>
      <c r="G27" s="155">
        <f t="shared" si="9"/>
        <v>1.0125870589902524</v>
      </c>
      <c r="H27" s="155">
        <f t="shared" si="10"/>
        <v>0.82455813028152547</v>
      </c>
      <c r="I27" s="71">
        <f t="shared" si="11"/>
        <v>82.369999999999663</v>
      </c>
      <c r="J27" s="155">
        <f t="shared" si="12"/>
        <v>6.4836315263335775E-2</v>
      </c>
      <c r="K27" s="224">
        <f t="shared" si="4"/>
        <v>0.30765731751426606</v>
      </c>
    </row>
    <row r="28" spans="2:13" x14ac:dyDescent="0.25">
      <c r="B28" s="13" t="s">
        <v>27</v>
      </c>
      <c r="C28" s="14">
        <f>C100+C170+'CAS-REPR'!B37+'NOG-REPR'!B48</f>
        <v>18684.860000000004</v>
      </c>
      <c r="D28" s="14">
        <f>D100+D170+'CAS-REPR'!C37+'NOG-REPR'!C48</f>
        <v>19341.789999999979</v>
      </c>
      <c r="E28" s="14">
        <f>E100+E170+'CAS-REPR'!D37+'NOG-REPR'!D48</f>
        <v>19845</v>
      </c>
      <c r="F28" s="14">
        <f>F100+F170+'CAS-REPR'!E37+'NOG-REPR'!E48</f>
        <v>20083</v>
      </c>
      <c r="G28" s="155">
        <f t="shared" si="9"/>
        <v>0.94153993449231566</v>
      </c>
      <c r="H28" s="155">
        <f t="shared" si="10"/>
        <v>0.96309266543842942</v>
      </c>
      <c r="I28" s="71">
        <f t="shared" si="11"/>
        <v>656.92999999997483</v>
      </c>
      <c r="J28" s="155">
        <f t="shared" si="12"/>
        <v>3.5158411676618151E-2</v>
      </c>
      <c r="K28" s="224">
        <f t="shared" si="4"/>
        <v>1.1992945326278592E-2</v>
      </c>
    </row>
    <row r="29" spans="2:13" x14ac:dyDescent="0.25">
      <c r="B29" s="13" t="s">
        <v>28</v>
      </c>
      <c r="C29" s="14">
        <f>C101+C171+'CAS-REPR'!B38+'NOG-REPR'!B49</f>
        <v>34712.270000000004</v>
      </c>
      <c r="D29" s="14">
        <f>D101+D171+'CAS-REPR'!C38+'NOG-REPR'!C49</f>
        <v>36371.910000000018</v>
      </c>
      <c r="E29" s="14">
        <f>E101+E171+'CAS-REPR'!D38+'NOG-REPR'!D49</f>
        <v>44584.611400000002</v>
      </c>
      <c r="F29" s="14">
        <f>F101+F171+'CAS-REPR'!E38+'NOG-REPR'!E49</f>
        <v>46864.714200000002</v>
      </c>
      <c r="G29" s="155">
        <f t="shared" si="9"/>
        <v>0.77857065274320192</v>
      </c>
      <c r="H29" s="155">
        <f t="shared" si="10"/>
        <v>0.77610438089474187</v>
      </c>
      <c r="I29" s="71">
        <f t="shared" si="11"/>
        <v>1659.640000000014</v>
      </c>
      <c r="J29" s="155">
        <f t="shared" si="12"/>
        <v>4.7811335876334571E-2</v>
      </c>
      <c r="K29" s="224">
        <f t="shared" si="4"/>
        <v>5.1141026654770938E-2</v>
      </c>
    </row>
    <row r="30" spans="2:13" x14ac:dyDescent="0.25">
      <c r="B30" s="95" t="s">
        <v>52</v>
      </c>
      <c r="C30" s="96">
        <f>C102+C172+'CAS-REPR'!B30+'NOG-REPR'!B37</f>
        <v>158968.88999999998</v>
      </c>
      <c r="D30" s="96">
        <f>D102+D172+'CAS-REPR'!C30+'NOG-REPR'!C37</f>
        <v>174886.77</v>
      </c>
      <c r="E30" s="96">
        <f>E102+E172+'CAS-REPR'!D30+'NOG-REPR'!D37</f>
        <v>160049.9927</v>
      </c>
      <c r="F30" s="96">
        <f>F102+F172+'CAS-REPR'!E30+'NOG-REPR'!E37</f>
        <v>174216.9927</v>
      </c>
      <c r="G30" s="101">
        <f t="shared" ref="G30:G73" si="13">C30/E30</f>
        <v>0.9932452186859736</v>
      </c>
      <c r="H30" s="101">
        <f t="shared" ref="H30:H73" si="14">D30/F30</f>
        <v>1.0038445004107799</v>
      </c>
      <c r="I30" s="96">
        <f t="shared" ref="I30:I73" si="15">D30-C30</f>
        <v>15917.880000000005</v>
      </c>
      <c r="J30" s="101">
        <f t="shared" ref="J30:J73" si="16">D30/C30-1</f>
        <v>0.10013204470384118</v>
      </c>
      <c r="K30" s="223">
        <f t="shared" si="4"/>
        <v>8.8516092759559406E-2</v>
      </c>
    </row>
    <row r="31" spans="2:13" x14ac:dyDescent="0.25">
      <c r="B31" s="13" t="s">
        <v>29</v>
      </c>
      <c r="C31" s="14">
        <f>C103+C173+'NOG-REPR'!B38</f>
        <v>80191.650000000009</v>
      </c>
      <c r="D31" s="14">
        <f>D103+D173+'NOG-REPR'!C38</f>
        <v>86518.469999999928</v>
      </c>
      <c r="E31" s="14">
        <f>E103+E173+'NOG-REPR'!D38</f>
        <v>80051</v>
      </c>
      <c r="F31" s="14">
        <f>F103+F173+'NOG-REPR'!E38</f>
        <v>84646</v>
      </c>
      <c r="G31" s="155">
        <f t="shared" si="13"/>
        <v>1.0017570049093705</v>
      </c>
      <c r="H31" s="155">
        <f t="shared" si="14"/>
        <v>1.0221211870614078</v>
      </c>
      <c r="I31" s="71">
        <f t="shared" si="15"/>
        <v>6326.8199999999197</v>
      </c>
      <c r="J31" s="155">
        <f t="shared" si="16"/>
        <v>7.8896244185023168E-2</v>
      </c>
      <c r="K31" s="224">
        <f t="shared" si="4"/>
        <v>5.7400906921837302E-2</v>
      </c>
    </row>
    <row r="32" spans="2:13" x14ac:dyDescent="0.25">
      <c r="B32" s="13" t="s">
        <v>30</v>
      </c>
      <c r="C32" s="14">
        <f>C104+C174+'NOG-REPR'!B39</f>
        <v>23676.73</v>
      </c>
      <c r="D32" s="14">
        <f>D104+D174+'NOG-REPR'!C39</f>
        <v>27277.290000000019</v>
      </c>
      <c r="E32" s="14">
        <f>E104+E174+'NOG-REPR'!D39</f>
        <v>23798.9931</v>
      </c>
      <c r="F32" s="14">
        <f>F104+F174+'NOG-REPR'!E39</f>
        <v>27276.992699999999</v>
      </c>
      <c r="G32" s="155">
        <f t="shared" si="13"/>
        <v>0.9948626776147097</v>
      </c>
      <c r="H32" s="155">
        <f t="shared" si="14"/>
        <v>1.0000108992953618</v>
      </c>
      <c r="I32" s="71">
        <f t="shared" si="15"/>
        <v>3600.5600000000195</v>
      </c>
      <c r="J32" s="155">
        <f t="shared" si="16"/>
        <v>0.15207167543828981</v>
      </c>
      <c r="K32" s="224">
        <f t="shared" si="4"/>
        <v>0.14614061970546133</v>
      </c>
      <c r="M32" t="s">
        <v>266</v>
      </c>
    </row>
    <row r="33" spans="2:17" x14ac:dyDescent="0.25">
      <c r="B33" s="13" t="s">
        <v>31</v>
      </c>
      <c r="C33" s="14">
        <f>C105+C175+'NOG-REPR'!B40</f>
        <v>28869.879999999994</v>
      </c>
      <c r="D33" s="14">
        <f>D105+D175+'NOG-REPR'!C40</f>
        <v>31676.809999999994</v>
      </c>
      <c r="E33" s="14">
        <f>E105+E175+'NOG-REPR'!D40</f>
        <v>28842</v>
      </c>
      <c r="F33" s="14">
        <f>F105+F175+'NOG-REPR'!E40</f>
        <v>31699</v>
      </c>
      <c r="G33" s="155">
        <f t="shared" si="13"/>
        <v>1.0009666458636708</v>
      </c>
      <c r="H33" s="155">
        <f t="shared" si="14"/>
        <v>0.99929997791728431</v>
      </c>
      <c r="I33" s="71">
        <f t="shared" si="15"/>
        <v>2806.9300000000003</v>
      </c>
      <c r="J33" s="155">
        <f t="shared" si="16"/>
        <v>9.7226936862917279E-2</v>
      </c>
      <c r="K33" s="224">
        <f t="shared" si="4"/>
        <v>9.9056930864711124E-2</v>
      </c>
      <c r="N33" t="s">
        <v>267</v>
      </c>
      <c r="O33" t="s">
        <v>268</v>
      </c>
      <c r="P33" t="s">
        <v>269</v>
      </c>
    </row>
    <row r="34" spans="2:17" x14ac:dyDescent="0.25">
      <c r="B34" s="13" t="s">
        <v>32</v>
      </c>
      <c r="C34" s="14">
        <f>C106+C176+'NOG-REPR'!B41</f>
        <v>2101.89</v>
      </c>
      <c r="D34" s="14">
        <f>D106+D176+'NOG-REPR'!C41</f>
        <v>3093.3500000000013</v>
      </c>
      <c r="E34" s="14">
        <f>E106+E176+'NOG-REPR'!D41</f>
        <v>2093</v>
      </c>
      <c r="F34" s="14">
        <f>F106+F176+'NOG-REPR'!E41</f>
        <v>2988</v>
      </c>
      <c r="G34" s="155">
        <f t="shared" si="13"/>
        <v>1.004247491638796</v>
      </c>
      <c r="H34" s="155">
        <f t="shared" si="14"/>
        <v>1.0352576974564931</v>
      </c>
      <c r="I34" s="71">
        <f t="shared" si="15"/>
        <v>991.4600000000014</v>
      </c>
      <c r="J34" s="155">
        <f t="shared" si="16"/>
        <v>0.47169928017165574</v>
      </c>
      <c r="K34" s="224">
        <f t="shared" si="4"/>
        <v>0.42761586239847116</v>
      </c>
      <c r="M34" t="s">
        <v>49</v>
      </c>
      <c r="N34" s="162">
        <v>182668.93</v>
      </c>
      <c r="O34" s="162">
        <v>253241.8376</v>
      </c>
      <c r="P34" s="124">
        <v>0.72132208378825891</v>
      </c>
    </row>
    <row r="35" spans="2:17" x14ac:dyDescent="0.25">
      <c r="B35" s="13" t="s">
        <v>33</v>
      </c>
      <c r="C35" s="14">
        <f>C107+C177+'CAS-REPR'!B31+'NOG-REPR'!B42</f>
        <v>27898.01</v>
      </c>
      <c r="D35" s="14">
        <f>D107+D177+'CAS-REPR'!C31+'NOG-REPR'!C42</f>
        <v>31364.409999999985</v>
      </c>
      <c r="E35" s="14">
        <f>E107+E177+'CAS-REPR'!D31+'NOG-REPR'!D42</f>
        <v>28888</v>
      </c>
      <c r="F35" s="14">
        <f>F107+F177+'CAS-REPR'!E31+'NOG-REPR'!E42</f>
        <v>32744</v>
      </c>
      <c r="G35" s="155">
        <f t="shared" si="13"/>
        <v>0.96573006092495151</v>
      </c>
      <c r="H35" s="155">
        <f t="shared" si="14"/>
        <v>0.95786739555338341</v>
      </c>
      <c r="I35" s="71">
        <f t="shared" si="15"/>
        <v>3466.3999999999869</v>
      </c>
      <c r="J35" s="155">
        <f t="shared" si="16"/>
        <v>0.12425259005929057</v>
      </c>
      <c r="K35" s="224">
        <f t="shared" si="4"/>
        <v>0.13348103018554425</v>
      </c>
      <c r="M35" t="s">
        <v>52</v>
      </c>
      <c r="N35" s="162">
        <v>183197.47999999995</v>
      </c>
      <c r="O35" s="162">
        <v>182460.9927</v>
      </c>
      <c r="P35" s="124">
        <v>1.0040364095859704</v>
      </c>
    </row>
    <row r="36" spans="2:17" x14ac:dyDescent="0.25">
      <c r="B36" s="95" t="s">
        <v>65</v>
      </c>
      <c r="C36" s="96">
        <f>C108+'CAS-REPR'!B32+'NOG-REPR'!B43</f>
        <v>8.620000000000001</v>
      </c>
      <c r="D36" s="96">
        <f>D108+'CAS-REPR'!C32+'NOG-REPR'!C43</f>
        <v>12.98</v>
      </c>
      <c r="E36" s="96">
        <f>E108+'CAS-REPR'!D32+'NOG-REPR'!D43</f>
        <v>10</v>
      </c>
      <c r="F36" s="96">
        <f>F108+'CAS-REPR'!E32+'NOG-REPR'!E43</f>
        <v>17</v>
      </c>
      <c r="G36" s="101">
        <f t="shared" si="13"/>
        <v>0.8620000000000001</v>
      </c>
      <c r="H36" s="101">
        <f t="shared" si="14"/>
        <v>0.7635294117647059</v>
      </c>
      <c r="I36" s="96">
        <f t="shared" si="15"/>
        <v>4.3599999999999994</v>
      </c>
      <c r="J36" s="101">
        <f t="shared" si="16"/>
        <v>0.50580046403712275</v>
      </c>
      <c r="K36" s="223">
        <f t="shared" si="4"/>
        <v>0.7</v>
      </c>
      <c r="M36" t="s">
        <v>60</v>
      </c>
      <c r="N36" s="162">
        <v>63620.259999999973</v>
      </c>
      <c r="O36" s="162">
        <v>101098.0848</v>
      </c>
      <c r="P36" s="124">
        <v>0.62929243541911262</v>
      </c>
    </row>
    <row r="37" spans="2:17" x14ac:dyDescent="0.25">
      <c r="B37" s="13" t="s">
        <v>66</v>
      </c>
      <c r="C37" s="71">
        <f>C109+'CAS-REPR'!B33+'NOG-REPR'!B44</f>
        <v>8.620000000000001</v>
      </c>
      <c r="D37" s="71">
        <f>D109+'CAS-REPR'!C33+'NOG-REPR'!C44</f>
        <v>12.98</v>
      </c>
      <c r="E37" s="71">
        <f>E109+'CAS-REPR'!D33+'NOG-REPR'!D44</f>
        <v>10</v>
      </c>
      <c r="F37" s="71">
        <f>F109+'CAS-REPR'!E33+'NOG-REPR'!E44</f>
        <v>17</v>
      </c>
      <c r="G37" s="155">
        <f t="shared" si="13"/>
        <v>0.8620000000000001</v>
      </c>
      <c r="H37" s="155">
        <f t="shared" si="14"/>
        <v>0.7635294117647059</v>
      </c>
      <c r="I37" s="71">
        <f t="shared" si="15"/>
        <v>4.3599999999999994</v>
      </c>
      <c r="J37" s="155">
        <f t="shared" si="16"/>
        <v>0.50580046403712275</v>
      </c>
      <c r="K37" s="224">
        <f t="shared" si="4"/>
        <v>0.7</v>
      </c>
      <c r="M37" t="s">
        <v>50</v>
      </c>
      <c r="N37" s="162">
        <v>80742.279999999955</v>
      </c>
      <c r="O37" s="162">
        <v>86787</v>
      </c>
      <c r="P37" s="124">
        <v>0.93034993720257586</v>
      </c>
    </row>
    <row r="38" spans="2:17" x14ac:dyDescent="0.25">
      <c r="B38" s="95" t="s">
        <v>53</v>
      </c>
      <c r="C38" s="96">
        <f>C110+C178+'CAS-REPR'!B24+'NOG-REPR'!B27</f>
        <v>4600.7900000000009</v>
      </c>
      <c r="D38" s="96">
        <f>D110+D178+'CAS-REPR'!C24+'NOG-REPR'!C27</f>
        <v>5542.2699999999995</v>
      </c>
      <c r="E38" s="96">
        <f>E110+E178+'CAS-REPR'!D24+'NOG-REPR'!D27</f>
        <v>4624</v>
      </c>
      <c r="F38" s="96">
        <f>F110+F178+'CAS-REPR'!E24+'NOG-REPR'!E27</f>
        <v>5146</v>
      </c>
      <c r="G38" s="101">
        <f t="shared" si="13"/>
        <v>0.99498053633218009</v>
      </c>
      <c r="H38" s="101">
        <f t="shared" si="14"/>
        <v>1.077005441119316</v>
      </c>
      <c r="I38" s="96">
        <f t="shared" si="15"/>
        <v>941.47999999999865</v>
      </c>
      <c r="J38" s="101">
        <f t="shared" si="16"/>
        <v>0.20463442147978905</v>
      </c>
      <c r="K38" s="223">
        <f t="shared" si="4"/>
        <v>0.11288927335640131</v>
      </c>
      <c r="M38" t="s">
        <v>56</v>
      </c>
      <c r="N38" s="162">
        <v>81142.219999999972</v>
      </c>
      <c r="O38" s="162">
        <v>84391.839899999992</v>
      </c>
      <c r="P38" s="124">
        <v>0.96149367161741406</v>
      </c>
      <c r="Q38">
        <f>SUM(N34:N39)/O12</f>
        <v>0.93190751040402708</v>
      </c>
    </row>
    <row r="39" spans="2:17" x14ac:dyDescent="0.25">
      <c r="B39" s="13" t="s">
        <v>34</v>
      </c>
      <c r="C39" s="14">
        <f>C111+C179+'CAS-REPR'!B25+'NOG-REPR'!B28</f>
        <v>167.88000000000002</v>
      </c>
      <c r="D39" s="14">
        <f>D111+D179+'CAS-REPR'!C25+'NOG-REPR'!C28</f>
        <v>189.57000000000002</v>
      </c>
      <c r="E39" s="14">
        <f>E111+E179+'CAS-REPR'!D25+'NOG-REPR'!D28</f>
        <v>530</v>
      </c>
      <c r="F39" s="14">
        <f>F111+F179+'CAS-REPR'!E25+'NOG-REPR'!E28</f>
        <v>561</v>
      </c>
      <c r="G39" s="155">
        <f t="shared" si="13"/>
        <v>0.31675471698113211</v>
      </c>
      <c r="H39" s="155">
        <f t="shared" si="14"/>
        <v>0.33791443850267383</v>
      </c>
      <c r="I39" s="71">
        <f t="shared" si="15"/>
        <v>21.689999999999998</v>
      </c>
      <c r="J39" s="155">
        <f t="shared" si="16"/>
        <v>0.12919942816297358</v>
      </c>
      <c r="K39" s="224">
        <f t="shared" si="4"/>
        <v>5.8490566037735947E-2</v>
      </c>
      <c r="M39" t="s">
        <v>51</v>
      </c>
      <c r="N39" s="162">
        <v>51017.679999999986</v>
      </c>
      <c r="O39" s="162">
        <v>61904.315900000001</v>
      </c>
      <c r="P39" s="124">
        <v>0.82413769150464011</v>
      </c>
      <c r="Q39">
        <f>SUM(O34:O39)/F73</f>
        <v>0.88237126094416063</v>
      </c>
    </row>
    <row r="40" spans="2:17" x14ac:dyDescent="0.25">
      <c r="B40" s="13" t="s">
        <v>35</v>
      </c>
      <c r="C40" s="14">
        <f>C112+C180+'CAS-REPR'!B26+'NOG-REPR'!B29</f>
        <v>382.47</v>
      </c>
      <c r="D40" s="14">
        <f>D112+D180+'CAS-REPR'!C26+'NOG-REPR'!C29</f>
        <v>433.75</v>
      </c>
      <c r="E40" s="14">
        <f>E112+E180+'CAS-REPR'!D26+'NOG-REPR'!D29</f>
        <v>587</v>
      </c>
      <c r="F40" s="14">
        <f>F112+F180+'CAS-REPR'!E26+'NOG-REPR'!E29</f>
        <v>625</v>
      </c>
      <c r="G40" s="155">
        <f t="shared" si="13"/>
        <v>0.65156729131175473</v>
      </c>
      <c r="H40" s="155">
        <f t="shared" si="14"/>
        <v>0.69399999999999995</v>
      </c>
      <c r="I40" s="71">
        <f t="shared" si="15"/>
        <v>51.279999999999973</v>
      </c>
      <c r="J40" s="155">
        <f t="shared" si="16"/>
        <v>0.13407587523204434</v>
      </c>
      <c r="K40" s="224">
        <f t="shared" si="4"/>
        <v>6.4735945485519641E-2</v>
      </c>
      <c r="M40" t="s">
        <v>67</v>
      </c>
      <c r="N40" s="162">
        <v>5488.37</v>
      </c>
      <c r="O40" s="162">
        <v>51557.056199999999</v>
      </c>
      <c r="P40" s="124">
        <v>0.10645235404266545</v>
      </c>
    </row>
    <row r="41" spans="2:17" x14ac:dyDescent="0.25">
      <c r="B41" s="13" t="s">
        <v>36</v>
      </c>
      <c r="C41" s="14">
        <f>C113+C181+'CAS-REPR'!B27+'NOG-REPR'!B30</f>
        <v>219.06</v>
      </c>
      <c r="D41" s="14">
        <f>D113+D181+'CAS-REPR'!C27+'NOG-REPR'!C30</f>
        <v>265.27</v>
      </c>
      <c r="E41" s="14">
        <f>E113+E181+'CAS-REPR'!D27+'NOG-REPR'!D30</f>
        <v>336</v>
      </c>
      <c r="F41" s="14">
        <f>F113+F181+'CAS-REPR'!E27+'NOG-REPR'!E30</f>
        <v>410</v>
      </c>
      <c r="G41" s="155">
        <f t="shared" si="13"/>
        <v>0.65196428571428577</v>
      </c>
      <c r="H41" s="155">
        <f t="shared" si="14"/>
        <v>0.64699999999999991</v>
      </c>
      <c r="I41" s="71">
        <f t="shared" si="15"/>
        <v>46.20999999999998</v>
      </c>
      <c r="J41" s="155">
        <f t="shared" si="16"/>
        <v>0.21094677257372396</v>
      </c>
      <c r="K41" s="224">
        <f t="shared" si="4"/>
        <v>0.22023809523809534</v>
      </c>
      <c r="M41" t="s">
        <v>75</v>
      </c>
      <c r="N41" s="162">
        <v>12962.000000000002</v>
      </c>
      <c r="O41" s="162">
        <v>38659.393100000001</v>
      </c>
      <c r="P41" s="124">
        <v>0.33528720863442635</v>
      </c>
    </row>
    <row r="42" spans="2:17" x14ac:dyDescent="0.25">
      <c r="B42" s="13" t="s">
        <v>37</v>
      </c>
      <c r="C42" s="14">
        <f>C114+C182+'NOG-REPR'!B31</f>
        <v>138.44999999999999</v>
      </c>
      <c r="D42" s="14">
        <f>D114+D182+'NOG-REPR'!C31</f>
        <v>191.1</v>
      </c>
      <c r="E42" s="14">
        <f>E114+E182+'NOG-REPR'!D31</f>
        <v>138</v>
      </c>
      <c r="F42" s="14">
        <f>F114+F182+'NOG-REPR'!E31</f>
        <v>187</v>
      </c>
      <c r="G42" s="155">
        <f t="shared" si="13"/>
        <v>1.0032608695652172</v>
      </c>
      <c r="H42" s="155">
        <f t="shared" si="14"/>
        <v>1.0219251336898396</v>
      </c>
      <c r="I42" s="71">
        <f t="shared" si="15"/>
        <v>52.650000000000006</v>
      </c>
      <c r="J42" s="155">
        <f t="shared" si="16"/>
        <v>0.38028169014084523</v>
      </c>
      <c r="K42" s="224">
        <f t="shared" si="4"/>
        <v>0.35507246376811596</v>
      </c>
      <c r="M42" t="s">
        <v>54</v>
      </c>
      <c r="N42" s="162">
        <v>23914.320000000003</v>
      </c>
      <c r="O42" s="162">
        <v>24045</v>
      </c>
      <c r="P42" s="124">
        <v>0.99456519026824719</v>
      </c>
    </row>
    <row r="43" spans="2:17" x14ac:dyDescent="0.25">
      <c r="B43" s="13" t="s">
        <v>38</v>
      </c>
      <c r="C43" s="14">
        <f>C115+C183+'CAS-REPR'!B28+'NOG-REPR'!B32</f>
        <v>828.45999999999992</v>
      </c>
      <c r="D43" s="14">
        <f>D115+D183+'CAS-REPR'!C28+'NOG-REPR'!C32</f>
        <v>822.65999999999985</v>
      </c>
      <c r="E43" s="14">
        <f>E115+E183+'CAS-REPR'!D28+'NOG-REPR'!D32</f>
        <v>1007</v>
      </c>
      <c r="F43" s="14">
        <f>F115+F183+'CAS-REPR'!E28+'NOG-REPR'!E32</f>
        <v>1095</v>
      </c>
      <c r="G43" s="155">
        <f t="shared" si="13"/>
        <v>0.82270109235352529</v>
      </c>
      <c r="H43" s="155">
        <f t="shared" si="14"/>
        <v>0.75128767123287654</v>
      </c>
      <c r="I43" s="71">
        <f t="shared" si="15"/>
        <v>-5.8000000000000682</v>
      </c>
      <c r="J43" s="155">
        <f t="shared" si="16"/>
        <v>-7.0009415059267832E-3</v>
      </c>
      <c r="K43" s="224">
        <f t="shared" si="4"/>
        <v>8.7388282025819164E-2</v>
      </c>
      <c r="M43" t="s">
        <v>63</v>
      </c>
      <c r="N43" s="162">
        <v>8357.6199999999953</v>
      </c>
      <c r="O43" s="162">
        <v>14956.9285</v>
      </c>
      <c r="P43" s="124">
        <v>0.55877916378352654</v>
      </c>
    </row>
    <row r="44" spans="2:17" x14ac:dyDescent="0.25">
      <c r="B44" s="13" t="s">
        <v>39</v>
      </c>
      <c r="C44" s="14">
        <f>C116+C184+'NOG-REPR'!B33</f>
        <v>137.44000000000003</v>
      </c>
      <c r="D44" s="14">
        <f>D116+D184+'NOG-REPR'!C33</f>
        <v>176.34</v>
      </c>
      <c r="E44" s="14">
        <f>E116+E184+'NOG-REPR'!D33</f>
        <v>34</v>
      </c>
      <c r="F44" s="14">
        <f>F116+F184+'NOG-REPR'!E33</f>
        <v>32</v>
      </c>
      <c r="G44" s="155">
        <f t="shared" si="13"/>
        <v>4.0423529411764711</v>
      </c>
      <c r="H44" s="155">
        <f t="shared" si="14"/>
        <v>5.5106250000000001</v>
      </c>
      <c r="I44" s="71">
        <f t="shared" si="15"/>
        <v>38.899999999999977</v>
      </c>
      <c r="J44" s="155">
        <f t="shared" si="16"/>
        <v>0.28303259604190889</v>
      </c>
      <c r="K44" s="224">
        <f t="shared" si="4"/>
        <v>-5.8823529411764719E-2</v>
      </c>
      <c r="M44" t="s">
        <v>55</v>
      </c>
      <c r="N44" s="162">
        <v>6510.8200000000006</v>
      </c>
      <c r="O44" s="162">
        <v>11022</v>
      </c>
      <c r="P44" s="124">
        <v>0.59071130466340049</v>
      </c>
    </row>
    <row r="45" spans="2:17" x14ac:dyDescent="0.25">
      <c r="B45" s="13" t="s">
        <v>40</v>
      </c>
      <c r="C45" s="14">
        <f>C117+C185+'NOG-REPR'!B34</f>
        <v>724.98</v>
      </c>
      <c r="D45" s="14">
        <f>D117+D185+'NOG-REPR'!C34</f>
        <v>738.89</v>
      </c>
      <c r="E45" s="14">
        <f>E117+E185+'NOG-REPR'!D34</f>
        <v>1116</v>
      </c>
      <c r="F45" s="14">
        <f>F117+F185+'NOG-REPR'!E34</f>
        <v>1354</v>
      </c>
      <c r="G45" s="155">
        <f t="shared" si="13"/>
        <v>0.64962365591397853</v>
      </c>
      <c r="H45" s="155">
        <f t="shared" si="14"/>
        <v>0.54570901033973407</v>
      </c>
      <c r="I45" s="71">
        <f t="shared" si="15"/>
        <v>13.909999999999968</v>
      </c>
      <c r="J45" s="155">
        <f t="shared" si="16"/>
        <v>1.9186736185825781E-2</v>
      </c>
      <c r="K45" s="224">
        <f t="shared" si="4"/>
        <v>0.21326164874551967</v>
      </c>
      <c r="M45" t="s">
        <v>53</v>
      </c>
      <c r="N45" s="162">
        <v>6797.9399999999987</v>
      </c>
      <c r="O45" s="162">
        <v>8449</v>
      </c>
      <c r="P45" s="124">
        <v>0.80458515800686459</v>
      </c>
    </row>
    <row r="46" spans="2:17" x14ac:dyDescent="0.25">
      <c r="B46" s="13" t="s">
        <v>41</v>
      </c>
      <c r="C46" s="14">
        <f>C118+C186+'NOG-REPR'!B35</f>
        <v>1381.7900000000002</v>
      </c>
      <c r="D46" s="14">
        <f>D118+D186+'NOG-REPR'!C35</f>
        <v>1934.4199999999998</v>
      </c>
      <c r="E46" s="14">
        <f>E118+E186+'NOG-REPR'!D35</f>
        <v>1374</v>
      </c>
      <c r="F46" s="14">
        <f>F118+F186+'NOG-REPR'!E35</f>
        <v>1816</v>
      </c>
      <c r="G46" s="155">
        <f t="shared" si="13"/>
        <v>1.0056695778748181</v>
      </c>
      <c r="H46" s="155">
        <f t="shared" si="14"/>
        <v>1.0652092511013216</v>
      </c>
      <c r="I46" s="71">
        <f t="shared" si="15"/>
        <v>552.62999999999965</v>
      </c>
      <c r="J46" s="155">
        <f t="shared" si="16"/>
        <v>0.39993776188856445</v>
      </c>
      <c r="K46" s="224">
        <f t="shared" si="4"/>
        <v>0.32168850072780208</v>
      </c>
      <c r="M46" t="s">
        <v>57</v>
      </c>
      <c r="N46" s="162">
        <v>3466.6399999999981</v>
      </c>
      <c r="O46" s="162">
        <v>5055</v>
      </c>
      <c r="P46" s="124">
        <v>0.68578437190900066</v>
      </c>
    </row>
    <row r="47" spans="2:17" x14ac:dyDescent="0.25">
      <c r="B47" s="13" t="s">
        <v>42</v>
      </c>
      <c r="C47" s="14">
        <f>C119+C187+'CAS-REPR'!B29+'NOG-REPR'!B36</f>
        <v>1001.2600000000001</v>
      </c>
      <c r="D47" s="14">
        <f>D119+D187+'CAS-REPR'!C29+'NOG-REPR'!C36</f>
        <v>1253.7300000000002</v>
      </c>
      <c r="E47" s="14">
        <f>E119+E187+'CAS-REPR'!D29+'NOG-REPR'!D36</f>
        <v>721</v>
      </c>
      <c r="F47" s="14">
        <f>F119+F187+'CAS-REPR'!E29+'NOG-REPR'!E36</f>
        <v>805</v>
      </c>
      <c r="G47" s="155">
        <f t="shared" si="13"/>
        <v>1.3887101248266298</v>
      </c>
      <c r="H47" s="155">
        <f t="shared" si="14"/>
        <v>1.5574285714285718</v>
      </c>
      <c r="I47" s="71">
        <f t="shared" si="15"/>
        <v>252.47000000000014</v>
      </c>
      <c r="J47" s="155">
        <f t="shared" si="16"/>
        <v>0.25215228811697266</v>
      </c>
      <c r="K47" s="224">
        <f t="shared" si="4"/>
        <v>0.11650485436893199</v>
      </c>
      <c r="M47" t="s">
        <v>80</v>
      </c>
      <c r="N47" s="162">
        <v>755.63</v>
      </c>
      <c r="O47" s="162">
        <v>2702</v>
      </c>
      <c r="P47" s="124">
        <v>0.27965581051073279</v>
      </c>
    </row>
    <row r="48" spans="2:17" x14ac:dyDescent="0.25">
      <c r="B48" s="95" t="s">
        <v>54</v>
      </c>
      <c r="C48" s="96">
        <f>C120+C188+'CAS-REPR'!B39+'NOG-REPR'!B50</f>
        <v>15984.950000000003</v>
      </c>
      <c r="D48" s="96">
        <f>D120+D188+'CAS-REPR'!C39+'NOG-REPR'!C50</f>
        <v>17961.149999999998</v>
      </c>
      <c r="E48" s="96">
        <f>E120+E188+'CAS-REPR'!D39+'NOG-REPR'!D50</f>
        <v>15304</v>
      </c>
      <c r="F48" s="96">
        <f>F120+F188+'CAS-REPR'!E39+'NOG-REPR'!E50</f>
        <v>17566</v>
      </c>
      <c r="G48" s="101">
        <f t="shared" si="13"/>
        <v>1.0444949032932569</v>
      </c>
      <c r="H48" s="101">
        <f t="shared" si="14"/>
        <v>1.0224951611066833</v>
      </c>
      <c r="I48" s="96">
        <f t="shared" si="15"/>
        <v>1976.1999999999953</v>
      </c>
      <c r="J48" s="101">
        <f t="shared" si="16"/>
        <v>0.12362878832902169</v>
      </c>
      <c r="K48" s="223">
        <f t="shared" si="4"/>
        <v>0.14780449555671726</v>
      </c>
      <c r="M48" t="s">
        <v>58</v>
      </c>
      <c r="N48" s="162">
        <v>209.6</v>
      </c>
      <c r="O48" s="162">
        <v>521</v>
      </c>
      <c r="P48" s="124">
        <v>0.40230326295585411</v>
      </c>
    </row>
    <row r="49" spans="2:16" x14ac:dyDescent="0.25">
      <c r="B49" s="13" t="s">
        <v>43</v>
      </c>
      <c r="C49" s="71">
        <f>C121+C189+'CAS-REPR'!B40+'NOG-REPR'!B51</f>
        <v>10157.11</v>
      </c>
      <c r="D49" s="71">
        <f>D121+D189+'CAS-REPR'!C40+'NOG-REPR'!C51</f>
        <v>11248.14</v>
      </c>
      <c r="E49" s="71">
        <f>E121+E189+'CAS-REPR'!D40+'NOG-REPR'!D51</f>
        <v>10392</v>
      </c>
      <c r="F49" s="71">
        <f>F121+F189+'CAS-REPR'!E40+'NOG-REPR'!E51</f>
        <v>12038</v>
      </c>
      <c r="G49" s="155">
        <f t="shared" si="13"/>
        <v>0.97739703618167828</v>
      </c>
      <c r="H49" s="155">
        <f t="shared" si="14"/>
        <v>0.93438611064960952</v>
      </c>
      <c r="I49" s="71">
        <f t="shared" si="15"/>
        <v>1091.0299999999988</v>
      </c>
      <c r="J49" s="155">
        <f t="shared" si="16"/>
        <v>0.10741539670240829</v>
      </c>
      <c r="K49" s="224">
        <f t="shared" si="4"/>
        <v>0.15839107005388753</v>
      </c>
      <c r="M49" t="s">
        <v>79</v>
      </c>
      <c r="N49" s="162">
        <v>0</v>
      </c>
      <c r="O49" s="162">
        <v>308</v>
      </c>
      <c r="P49" s="124">
        <v>0</v>
      </c>
    </row>
    <row r="50" spans="2:16" x14ac:dyDescent="0.25">
      <c r="B50" s="13" t="s">
        <v>44</v>
      </c>
      <c r="C50" s="71">
        <f>C122+C190+'CAS-REPR'!B41+'NOG-REPR'!B52</f>
        <v>6323.1100000000006</v>
      </c>
      <c r="D50" s="71">
        <f>D122+D190+'CAS-REPR'!C41+'NOG-REPR'!C52</f>
        <v>7276.1799999999994</v>
      </c>
      <c r="E50" s="71">
        <f>E122+E190+'CAS-REPR'!D41+'NOG-REPR'!D52</f>
        <v>6417</v>
      </c>
      <c r="F50" s="71">
        <f>F122+F190+'CAS-REPR'!E41+'NOG-REPR'!E52</f>
        <v>7571</v>
      </c>
      <c r="G50" s="155">
        <f t="shared" si="13"/>
        <v>0.98536855228299836</v>
      </c>
      <c r="H50" s="155">
        <f t="shared" si="14"/>
        <v>0.96105930524369299</v>
      </c>
      <c r="I50" s="71">
        <f t="shared" si="15"/>
        <v>953.0699999999988</v>
      </c>
      <c r="J50" s="155">
        <f t="shared" si="16"/>
        <v>0.15072804363675441</v>
      </c>
      <c r="K50" s="224">
        <f t="shared" si="4"/>
        <v>0.17983481377590782</v>
      </c>
      <c r="M50" t="s">
        <v>65</v>
      </c>
      <c r="N50" s="162">
        <v>25.440000000000005</v>
      </c>
      <c r="O50" s="162">
        <v>34</v>
      </c>
      <c r="P50" s="124">
        <v>0.74823529411764722</v>
      </c>
    </row>
    <row r="51" spans="2:16" x14ac:dyDescent="0.25">
      <c r="B51" s="95" t="s">
        <v>67</v>
      </c>
      <c r="C51" s="96">
        <f>C123+'CAS-REPR'!B42+'NOG-REPR'!B53</f>
        <v>2542.9299999999994</v>
      </c>
      <c r="D51" s="96">
        <f>D123+'CAS-REPR'!C42+'NOG-REPR'!C53</f>
        <v>2435.81</v>
      </c>
      <c r="E51" s="96">
        <f>E123+'CAS-REPR'!D42+'NOG-REPR'!D53</f>
        <v>25412</v>
      </c>
      <c r="F51" s="96">
        <f>F123+'CAS-REPR'!E42+'NOG-REPR'!E53</f>
        <v>25563</v>
      </c>
      <c r="G51" s="101">
        <f t="shared" si="13"/>
        <v>0.10006807807335115</v>
      </c>
      <c r="H51" s="101">
        <f t="shared" si="14"/>
        <v>9.5286546962406599E-2</v>
      </c>
      <c r="I51" s="96">
        <f t="shared" si="15"/>
        <v>-107.11999999999944</v>
      </c>
      <c r="J51" s="101">
        <f t="shared" si="16"/>
        <v>-4.2124635754818063E-2</v>
      </c>
      <c r="K51" s="223">
        <f t="shared" si="4"/>
        <v>5.9420746104201783E-3</v>
      </c>
    </row>
    <row r="52" spans="2:16" x14ac:dyDescent="0.25">
      <c r="B52" s="13" t="s">
        <v>68</v>
      </c>
      <c r="C52" s="71">
        <f>C124+'CAS-REPR'!B43+'NOG-REPR'!B54</f>
        <v>50.41</v>
      </c>
      <c r="D52" s="71">
        <f>D124+'CAS-REPR'!C43+'NOG-REPR'!C54</f>
        <v>54.669999999999995</v>
      </c>
      <c r="E52" s="71">
        <f>E124+'CAS-REPR'!D43+'NOG-REPR'!D54</f>
        <v>2995</v>
      </c>
      <c r="F52" s="71">
        <f>F124+'CAS-REPR'!E43+'NOG-REPR'!E54</f>
        <v>3000</v>
      </c>
      <c r="G52" s="155">
        <f t="shared" si="13"/>
        <v>1.6831385642737895E-2</v>
      </c>
      <c r="H52" s="155">
        <f t="shared" si="14"/>
        <v>1.8223333333333331E-2</v>
      </c>
      <c r="I52" s="71">
        <f t="shared" si="15"/>
        <v>4.259999999999998</v>
      </c>
      <c r="J52" s="155">
        <f t="shared" si="16"/>
        <v>8.4507042253521014E-2</v>
      </c>
      <c r="K52" s="224">
        <f t="shared" si="4"/>
        <v>1.6694490818029983E-3</v>
      </c>
    </row>
    <row r="53" spans="2:16" x14ac:dyDescent="0.25">
      <c r="B53" s="13" t="s">
        <v>98</v>
      </c>
      <c r="C53" s="71">
        <f>C125+'CAS-REPR'!B44+'NOG-REPR'!B55</f>
        <v>1221.5899999999997</v>
      </c>
      <c r="D53" s="71">
        <f>D125+'CAS-REPR'!C44+'NOG-REPR'!C55</f>
        <v>1067.5399999999997</v>
      </c>
      <c r="E53" s="71">
        <f>E125+'CAS-REPR'!D44+'NOG-REPR'!D55</f>
        <v>7568</v>
      </c>
      <c r="F53" s="71">
        <f>F125+'CAS-REPR'!E44+'NOG-REPR'!E55</f>
        <v>7657</v>
      </c>
      <c r="G53" s="155">
        <f t="shared" si="13"/>
        <v>0.16141516913319234</v>
      </c>
      <c r="H53" s="155">
        <f t="shared" si="14"/>
        <v>0.13942013843541853</v>
      </c>
      <c r="I53" s="71">
        <f t="shared" si="15"/>
        <v>-154.04999999999995</v>
      </c>
      <c r="J53" s="155">
        <f t="shared" si="16"/>
        <v>-0.12610614035805789</v>
      </c>
      <c r="K53" s="224">
        <f t="shared" si="4"/>
        <v>1.1760042283298189E-2</v>
      </c>
    </row>
    <row r="54" spans="2:16" x14ac:dyDescent="0.25">
      <c r="B54" s="13" t="s">
        <v>70</v>
      </c>
      <c r="C54" s="71">
        <f>C126+'CAS-REPR'!B45+'NOG-REPR'!B56</f>
        <v>1131.2799999999997</v>
      </c>
      <c r="D54" s="71">
        <f>D126+'CAS-REPR'!C45+'NOG-REPR'!C56</f>
        <v>1179.4299999999998</v>
      </c>
      <c r="E54" s="71">
        <f>E126+'CAS-REPR'!D45+'NOG-REPR'!D56</f>
        <v>13899</v>
      </c>
      <c r="F54" s="71">
        <f>F126+'CAS-REPR'!E45+'NOG-REPR'!E56</f>
        <v>13952</v>
      </c>
      <c r="G54" s="155">
        <f t="shared" si="13"/>
        <v>8.1392905964457862E-2</v>
      </c>
      <c r="H54" s="155">
        <f t="shared" si="14"/>
        <v>8.4534833715596322E-2</v>
      </c>
      <c r="I54" s="71">
        <f t="shared" si="15"/>
        <v>48.150000000000091</v>
      </c>
      <c r="J54" s="155">
        <f t="shared" si="16"/>
        <v>4.2562407184781881E-2</v>
      </c>
      <c r="K54" s="224">
        <f t="shared" si="4"/>
        <v>3.8132239729475881E-3</v>
      </c>
    </row>
    <row r="55" spans="2:16" x14ac:dyDescent="0.25">
      <c r="B55" s="13" t="s">
        <v>71</v>
      </c>
      <c r="C55" s="71">
        <f>C127+'CAS-REPR'!B46+'NOG-REPR'!B57</f>
        <v>139.65</v>
      </c>
      <c r="D55" s="71">
        <f>D127+'CAS-REPR'!C46+'NOG-REPR'!C57</f>
        <v>134.16999999999999</v>
      </c>
      <c r="E55" s="71">
        <f>E127+'CAS-REPR'!D46+'NOG-REPR'!D57</f>
        <v>950</v>
      </c>
      <c r="F55" s="71">
        <f>F127+'CAS-REPR'!E46+'NOG-REPR'!E57</f>
        <v>954</v>
      </c>
      <c r="G55" s="155">
        <f t="shared" si="13"/>
        <v>0.14700000000000002</v>
      </c>
      <c r="H55" s="155">
        <f t="shared" si="14"/>
        <v>0.14063941299790356</v>
      </c>
      <c r="I55" s="71">
        <f t="shared" si="15"/>
        <v>-5.4800000000000182</v>
      </c>
      <c r="J55" s="155">
        <f t="shared" si="16"/>
        <v>-3.9240959541711584E-2</v>
      </c>
      <c r="K55" s="224">
        <f t="shared" si="4"/>
        <v>4.2105263157894424E-3</v>
      </c>
    </row>
    <row r="56" spans="2:16" x14ac:dyDescent="0.25">
      <c r="B56" s="95" t="s">
        <v>75</v>
      </c>
      <c r="C56" s="96">
        <f>C128+C191+'NOG-REPR'!B58</f>
        <v>14365.629999999997</v>
      </c>
      <c r="D56" s="96">
        <f>D128+D191+'NOG-REPR'!C58</f>
        <v>13226.670000000002</v>
      </c>
      <c r="E56" s="96">
        <f>E128+E191+'NOG-REPR'!D58</f>
        <v>38643.018100000001</v>
      </c>
      <c r="F56" s="96">
        <f>F128+F191+'NOG-REPR'!E58</f>
        <v>38880.336900000002</v>
      </c>
      <c r="G56" s="101">
        <f t="shared" si="13"/>
        <v>0.37175227780668602</v>
      </c>
      <c r="H56" s="101">
        <f t="shared" si="14"/>
        <v>0.34018918184837027</v>
      </c>
      <c r="I56" s="96">
        <f t="shared" si="15"/>
        <v>-1138.9599999999955</v>
      </c>
      <c r="J56" s="101">
        <f t="shared" si="16"/>
        <v>-7.9283679170352839E-2</v>
      </c>
      <c r="K56" s="223">
        <f t="shared" si="4"/>
        <v>6.1413112036401429E-3</v>
      </c>
    </row>
    <row r="57" spans="2:16" x14ac:dyDescent="0.25">
      <c r="B57" s="13" t="s">
        <v>78</v>
      </c>
      <c r="C57" s="71">
        <f>C129+C192+'NOG-REPR'!B59</f>
        <v>14111.579999999996</v>
      </c>
      <c r="D57" s="71">
        <f>D129+D192+'NOG-REPR'!C59</f>
        <v>12958.85</v>
      </c>
      <c r="E57" s="71">
        <f>E129+E192+'NOG-REPR'!D59</f>
        <v>38300.018100000001</v>
      </c>
      <c r="F57" s="71">
        <f>F129+F192+'NOG-REPR'!E59</f>
        <v>38562.336900000002</v>
      </c>
      <c r="G57" s="155">
        <f t="shared" si="13"/>
        <v>0.3684483898455389</v>
      </c>
      <c r="H57" s="155">
        <f t="shared" si="14"/>
        <v>0.33604939538817213</v>
      </c>
      <c r="I57" s="71">
        <f t="shared" si="15"/>
        <v>-1152.7299999999959</v>
      </c>
      <c r="J57" s="155">
        <f t="shared" si="16"/>
        <v>-8.1686813241323541E-2</v>
      </c>
      <c r="K57" s="224">
        <f t="shared" si="4"/>
        <v>6.8490515935291096E-3</v>
      </c>
    </row>
    <row r="58" spans="2:16" x14ac:dyDescent="0.25">
      <c r="B58" s="95" t="s">
        <v>79</v>
      </c>
      <c r="C58" s="96">
        <f>C130+C193+'CAS-REPR'!B47+'NOG-REPR'!B60</f>
        <v>0</v>
      </c>
      <c r="D58" s="96">
        <f>D130+D193+'CAS-REPR'!C47+'NOG-REPR'!C60</f>
        <v>0</v>
      </c>
      <c r="E58" s="96">
        <f>E130+E193+'CAS-REPR'!D47+'NOG-REPR'!D60</f>
        <v>245</v>
      </c>
      <c r="F58" s="96">
        <f>F130+F193+'CAS-REPR'!E47+'NOG-REPR'!E60</f>
        <v>275</v>
      </c>
      <c r="G58" s="101">
        <f t="shared" si="13"/>
        <v>0</v>
      </c>
      <c r="H58" s="101">
        <f t="shared" si="14"/>
        <v>0</v>
      </c>
      <c r="I58" s="96">
        <f t="shared" si="15"/>
        <v>0</v>
      </c>
      <c r="J58" s="101"/>
      <c r="K58" s="223">
        <f t="shared" si="4"/>
        <v>0.12244897959183665</v>
      </c>
    </row>
    <row r="59" spans="2:16" x14ac:dyDescent="0.25">
      <c r="B59" s="15" t="s">
        <v>82</v>
      </c>
      <c r="C59" s="14">
        <f>C131+C194+'NOG-REPR'!B61</f>
        <v>0</v>
      </c>
      <c r="D59" s="14">
        <f>D131+D194+'NOG-REPR'!C61</f>
        <v>0</v>
      </c>
      <c r="E59" s="14">
        <f>E131+E194+'NOG-REPR'!D61</f>
        <v>67</v>
      </c>
      <c r="F59" s="14">
        <f>F131+F194+'NOG-REPR'!E61</f>
        <v>99</v>
      </c>
      <c r="G59" s="155">
        <f t="shared" si="13"/>
        <v>0</v>
      </c>
      <c r="H59" s="155">
        <f t="shared" si="14"/>
        <v>0</v>
      </c>
      <c r="I59" s="71">
        <f t="shared" si="15"/>
        <v>0</v>
      </c>
      <c r="J59" s="155"/>
      <c r="K59" s="224">
        <f t="shared" si="4"/>
        <v>0.47761194029850751</v>
      </c>
    </row>
    <row r="60" spans="2:16" x14ac:dyDescent="0.25">
      <c r="B60" s="15" t="s">
        <v>83</v>
      </c>
      <c r="C60" s="14">
        <f>C132+C195+'CAS-REPR'!B48+'NOG-REPR'!B62</f>
        <v>0</v>
      </c>
      <c r="D60" s="14">
        <f>D132+D195+'CAS-REPR'!C48+'NOG-REPR'!C62</f>
        <v>0</v>
      </c>
      <c r="E60" s="14">
        <f>E132+E195+'CAS-REPR'!D48+'NOG-REPR'!D62</f>
        <v>178</v>
      </c>
      <c r="F60" s="14">
        <f>F132+F195+'CAS-REPR'!E48+'NOG-REPR'!E62</f>
        <v>176</v>
      </c>
      <c r="G60" s="155">
        <f t="shared" si="13"/>
        <v>0</v>
      </c>
      <c r="H60" s="155">
        <f t="shared" si="14"/>
        <v>0</v>
      </c>
      <c r="I60" s="71">
        <f t="shared" si="15"/>
        <v>0</v>
      </c>
      <c r="J60" s="155" t="e">
        <f t="shared" si="16"/>
        <v>#DIV/0!</v>
      </c>
      <c r="K60" s="224">
        <f t="shared" si="4"/>
        <v>-1.1235955056179803E-2</v>
      </c>
    </row>
    <row r="61" spans="2:16" x14ac:dyDescent="0.25">
      <c r="B61" s="95" t="s">
        <v>55</v>
      </c>
      <c r="C61" s="96">
        <f>C133+C196+'CAS-REPR'!B49+'NOG-REPR'!B63</f>
        <v>5961.4999999999982</v>
      </c>
      <c r="D61" s="96">
        <f>D133+D196+'CAS-REPR'!C49+'NOG-REPR'!C63</f>
        <v>6341.1100000000006</v>
      </c>
      <c r="E61" s="96">
        <f>E133+E196+'CAS-REPR'!D49+'NOG-REPR'!D63</f>
        <v>10472</v>
      </c>
      <c r="F61" s="96">
        <f>F133+F196+'CAS-REPR'!E49+'NOG-REPR'!E63</f>
        <v>10573</v>
      </c>
      <c r="G61" s="101">
        <f t="shared" si="13"/>
        <v>0.56927998472116104</v>
      </c>
      <c r="H61" s="101">
        <f t="shared" si="14"/>
        <v>0.59974557835997355</v>
      </c>
      <c r="I61" s="96">
        <f t="shared" si="15"/>
        <v>379.6100000000024</v>
      </c>
      <c r="J61" s="101">
        <f t="shared" si="16"/>
        <v>6.3676926947916268E-2</v>
      </c>
      <c r="K61" s="223">
        <f t="shared" si="4"/>
        <v>9.6447669977082207E-3</v>
      </c>
    </row>
    <row r="62" spans="2:16" x14ac:dyDescent="0.25">
      <c r="B62" s="13" t="s">
        <v>45</v>
      </c>
      <c r="C62" s="71">
        <f>C134+C197+'CAS-REPR'!B50+'NOG-REPR'!B64</f>
        <v>5961.4999999999982</v>
      </c>
      <c r="D62" s="71">
        <f>D134+D197+'CAS-REPR'!C50+'NOG-REPR'!C64</f>
        <v>6341.9100000000035</v>
      </c>
      <c r="E62" s="71">
        <f>E134+E197+'CAS-REPR'!D50+'NOG-REPR'!D64</f>
        <v>10472</v>
      </c>
      <c r="F62" s="71">
        <f>F134+F197+'CAS-REPR'!E50+'NOG-REPR'!E64</f>
        <v>10573</v>
      </c>
      <c r="G62" s="155">
        <f t="shared" si="13"/>
        <v>0.56927998472116104</v>
      </c>
      <c r="H62" s="155">
        <f t="shared" si="14"/>
        <v>0.59982124278823457</v>
      </c>
      <c r="I62" s="71">
        <f t="shared" si="15"/>
        <v>380.41000000000531</v>
      </c>
      <c r="J62" s="155">
        <f t="shared" si="16"/>
        <v>6.381112136207423E-2</v>
      </c>
      <c r="K62" s="224">
        <f t="shared" si="4"/>
        <v>9.6447669977082207E-3</v>
      </c>
    </row>
    <row r="63" spans="2:16" x14ac:dyDescent="0.25">
      <c r="B63" s="95" t="s">
        <v>80</v>
      </c>
      <c r="C63" s="96">
        <f>C135+C198+'NOG-REPR'!B65</f>
        <v>617.21</v>
      </c>
      <c r="D63" s="96">
        <f>D135+D198+'NOG-REPR'!C65</f>
        <v>766.64</v>
      </c>
      <c r="E63" s="96">
        <f>E135+E198+'NOG-REPR'!D65</f>
        <v>2038</v>
      </c>
      <c r="F63" s="96">
        <f>F135+F198+'NOG-REPR'!E65</f>
        <v>2695</v>
      </c>
      <c r="G63" s="101">
        <f t="shared" si="13"/>
        <v>0.30285083415112857</v>
      </c>
      <c r="H63" s="101">
        <f t="shared" si="14"/>
        <v>0.28446753246753248</v>
      </c>
      <c r="I63" s="96">
        <f t="shared" si="15"/>
        <v>149.42999999999995</v>
      </c>
      <c r="J63" s="101">
        <f t="shared" si="16"/>
        <v>0.24210560425138916</v>
      </c>
      <c r="K63" s="223">
        <f t="shared" si="4"/>
        <v>0.32237487733071646</v>
      </c>
    </row>
    <row r="64" spans="2:16" x14ac:dyDescent="0.25">
      <c r="B64" s="13" t="s">
        <v>81</v>
      </c>
      <c r="C64" s="71">
        <f>C136+C199+'NOG-REPR'!B66</f>
        <v>617.21</v>
      </c>
      <c r="D64" s="71">
        <f>D136+D199+'NOG-REPR'!C66</f>
        <v>766.95000000000016</v>
      </c>
      <c r="E64" s="71">
        <f>E136+E199+'NOG-REPR'!D66</f>
        <v>2038</v>
      </c>
      <c r="F64" s="71">
        <f>F136+F199+'NOG-REPR'!E66</f>
        <v>2695</v>
      </c>
      <c r="G64" s="155">
        <f t="shared" si="13"/>
        <v>0.30285083415112857</v>
      </c>
      <c r="H64" s="155">
        <f t="shared" si="14"/>
        <v>0.28458256029684609</v>
      </c>
      <c r="I64" s="71">
        <f t="shared" si="15"/>
        <v>149.74000000000012</v>
      </c>
      <c r="J64" s="155">
        <f t="shared" si="16"/>
        <v>0.24260786442215787</v>
      </c>
      <c r="K64" s="224">
        <f t="shared" si="4"/>
        <v>0.32237487733071646</v>
      </c>
    </row>
    <row r="65" spans="2:27" x14ac:dyDescent="0.25">
      <c r="B65" s="95" t="s">
        <v>56</v>
      </c>
      <c r="C65" s="96">
        <f>C137+C200+'NOG-REPR'!B67</f>
        <v>77853.429999999993</v>
      </c>
      <c r="D65" s="96">
        <f>D137+D200+'NOG-REPR'!C67</f>
        <v>80554.33</v>
      </c>
      <c r="E65" s="96">
        <f>E137+E200+'NOG-REPR'!D67</f>
        <v>82757.092199999999</v>
      </c>
      <c r="F65" s="96">
        <f>F137+F200+'NOG-REPR'!E67</f>
        <v>84107.906799999997</v>
      </c>
      <c r="G65" s="101">
        <f t="shared" si="13"/>
        <v>0.94074632071231712</v>
      </c>
      <c r="H65" s="101">
        <f t="shared" si="14"/>
        <v>0.95774978910781794</v>
      </c>
      <c r="I65" s="96">
        <f t="shared" si="15"/>
        <v>2700.9000000000087</v>
      </c>
      <c r="J65" s="101">
        <f t="shared" si="16"/>
        <v>3.4692113115632806E-2</v>
      </c>
      <c r="K65" s="223">
        <f t="shared" si="4"/>
        <v>1.6322644550336163E-2</v>
      </c>
    </row>
    <row r="66" spans="2:27" x14ac:dyDescent="0.25">
      <c r="B66" s="13" t="s">
        <v>46</v>
      </c>
      <c r="C66" s="71">
        <f>C138+C201+'NOG-REPR'!B68</f>
        <v>77853.429999999993</v>
      </c>
      <c r="D66" s="71">
        <f>D138+D201+'NOG-REPR'!C68</f>
        <v>80553.930000000022</v>
      </c>
      <c r="E66" s="71">
        <f>E138+E201+'NOG-REPR'!D68</f>
        <v>82757.092199999999</v>
      </c>
      <c r="F66" s="71">
        <f>F138+F201+'NOG-REPR'!E68</f>
        <v>84107.906799999997</v>
      </c>
      <c r="G66" s="155">
        <f t="shared" si="13"/>
        <v>0.94074632071231712</v>
      </c>
      <c r="H66" s="155">
        <f t="shared" si="14"/>
        <v>0.95774503331237371</v>
      </c>
      <c r="I66" s="71">
        <f t="shared" si="15"/>
        <v>2700.5000000000291</v>
      </c>
      <c r="J66" s="155">
        <f t="shared" si="16"/>
        <v>3.4686975255939556E-2</v>
      </c>
      <c r="K66" s="224">
        <f t="shared" si="4"/>
        <v>1.6322644550336163E-2</v>
      </c>
    </row>
    <row r="67" spans="2:27" x14ac:dyDescent="0.25">
      <c r="B67" s="95" t="s">
        <v>57</v>
      </c>
      <c r="C67" s="96">
        <f>C139+C202+'CAS-REPR'!B51+'NOG-REPR'!B69</f>
        <v>3001.1699999999996</v>
      </c>
      <c r="D67" s="96">
        <f>D139+D202+'CAS-REPR'!C51+'NOG-REPR'!C69</f>
        <v>3286.659999999998</v>
      </c>
      <c r="E67" s="96">
        <f>E139+E202+'CAS-REPR'!D51+'NOG-REPR'!D69</f>
        <v>4257</v>
      </c>
      <c r="F67" s="96">
        <f>F139+F202+'CAS-REPR'!E51+'NOG-REPR'!E69</f>
        <v>4747</v>
      </c>
      <c r="G67" s="101">
        <f t="shared" si="13"/>
        <v>0.70499647639182517</v>
      </c>
      <c r="H67" s="101">
        <f t="shared" si="14"/>
        <v>0.69236570465557157</v>
      </c>
      <c r="I67" s="96">
        <f t="shared" si="15"/>
        <v>285.48999999999842</v>
      </c>
      <c r="J67" s="101">
        <f t="shared" si="16"/>
        <v>9.5126234102033136E-2</v>
      </c>
      <c r="K67" s="223">
        <f t="shared" si="4"/>
        <v>0.11510453370918494</v>
      </c>
    </row>
    <row r="68" spans="2:27" x14ac:dyDescent="0.25">
      <c r="B68" s="13" t="s">
        <v>47</v>
      </c>
      <c r="C68" s="71">
        <f>C140+C203+'CAS-REPR'!B52+'NOG-REPR'!B70</f>
        <v>3001.1699999999996</v>
      </c>
      <c r="D68" s="71">
        <f>D140+D203+'CAS-REPR'!C52+'NOG-REPR'!C70</f>
        <v>3286.6599999999985</v>
      </c>
      <c r="E68" s="71">
        <f>E140+E203+'CAS-REPR'!D52+'NOG-REPR'!D70</f>
        <v>4257</v>
      </c>
      <c r="F68" s="71">
        <f>F140+F203+'CAS-REPR'!E52+'NOG-REPR'!E70</f>
        <v>4747</v>
      </c>
      <c r="G68" s="155">
        <f t="shared" si="13"/>
        <v>0.70499647639182517</v>
      </c>
      <c r="H68" s="155">
        <f t="shared" si="14"/>
        <v>0.69236570465557157</v>
      </c>
      <c r="I68" s="71">
        <f t="shared" si="15"/>
        <v>285.48999999999887</v>
      </c>
      <c r="J68" s="155">
        <f t="shared" si="16"/>
        <v>9.5126234102033136E-2</v>
      </c>
      <c r="K68" s="224">
        <f t="shared" si="4"/>
        <v>0.11510453370918494</v>
      </c>
    </row>
    <row r="69" spans="2:27" x14ac:dyDescent="0.25">
      <c r="B69" s="95" t="s">
        <v>58</v>
      </c>
      <c r="C69" s="96">
        <f>C141+'CAS-REPR'!B53+'NOG-REPR'!B71</f>
        <v>101.33999999999999</v>
      </c>
      <c r="D69" s="96">
        <f>D141+'CAS-REPR'!C53+'NOG-REPR'!C71</f>
        <v>100.91</v>
      </c>
      <c r="E69" s="96">
        <f>E141+'CAS-REPR'!D53+'NOG-REPR'!D71</f>
        <v>292.64999999999998</v>
      </c>
      <c r="F69" s="96">
        <f>F141+'CAS-REPR'!E53+'NOG-REPR'!E71</f>
        <v>301.74</v>
      </c>
      <c r="G69" s="101">
        <f t="shared" si="13"/>
        <v>0.34628395694515635</v>
      </c>
      <c r="H69" s="101">
        <f t="shared" si="14"/>
        <v>0.33442699012394772</v>
      </c>
      <c r="I69" s="96">
        <f t="shared" si="15"/>
        <v>-0.42999999999999261</v>
      </c>
      <c r="J69" s="101">
        <f t="shared" si="16"/>
        <v>-4.2431418985592328E-3</v>
      </c>
      <c r="K69" s="223">
        <f t="shared" si="4"/>
        <v>3.1060994361865824E-2</v>
      </c>
    </row>
    <row r="70" spans="2:27" x14ac:dyDescent="0.25">
      <c r="B70" s="13" t="s">
        <v>48</v>
      </c>
      <c r="C70" s="14">
        <f>C142+'NOG-REPR'!B72</f>
        <v>32.459999999999994</v>
      </c>
      <c r="D70" s="14">
        <f>D142+'NOG-REPR'!C72</f>
        <v>23.530000000000005</v>
      </c>
      <c r="E70" s="14">
        <f>E142+'NOG-REPR'!D72</f>
        <v>111.65</v>
      </c>
      <c r="F70" s="14">
        <f>F142+'NOG-REPR'!E72</f>
        <v>114.74</v>
      </c>
      <c r="G70" s="155">
        <f t="shared" si="13"/>
        <v>0.29072995969547688</v>
      </c>
      <c r="H70" s="155">
        <f t="shared" si="14"/>
        <v>0.20507233745860209</v>
      </c>
      <c r="I70" s="71">
        <f t="shared" si="15"/>
        <v>-8.9299999999999891</v>
      </c>
      <c r="J70" s="155">
        <f t="shared" si="16"/>
        <v>-0.27510782501540332</v>
      </c>
      <c r="K70" s="224">
        <f t="shared" si="4"/>
        <v>2.7675772503358509E-2</v>
      </c>
    </row>
    <row r="71" spans="2:27" x14ac:dyDescent="0.25">
      <c r="B71" s="13" t="s">
        <v>72</v>
      </c>
      <c r="C71" s="14">
        <f>C143+'CAS-REPR'!B54+'NOG-REPR'!B73</f>
        <v>63.819999999999979</v>
      </c>
      <c r="D71" s="14">
        <f>D143+'CAS-REPR'!C54+'NOG-REPR'!C73</f>
        <v>73.2</v>
      </c>
      <c r="E71" s="14">
        <f>E143+'CAS-REPR'!D54+'NOG-REPR'!D73</f>
        <v>89</v>
      </c>
      <c r="F71" s="14">
        <f>F143+'CAS-REPR'!E54+'NOG-REPR'!E73</f>
        <v>95</v>
      </c>
      <c r="G71" s="155">
        <f t="shared" si="13"/>
        <v>0.71707865168539298</v>
      </c>
      <c r="H71" s="155">
        <f t="shared" si="14"/>
        <v>0.77052631578947373</v>
      </c>
      <c r="I71" s="71">
        <f t="shared" si="15"/>
        <v>9.3800000000000239</v>
      </c>
      <c r="J71" s="155">
        <f t="shared" si="16"/>
        <v>0.1469758696333443</v>
      </c>
      <c r="K71" s="224">
        <f>F71/E71-1</f>
        <v>6.7415730337078594E-2</v>
      </c>
    </row>
    <row r="72" spans="2:27" x14ac:dyDescent="0.25">
      <c r="B72" s="13" t="s">
        <v>73</v>
      </c>
      <c r="C72" s="14">
        <f>C144+'NOG-REPR'!B74</f>
        <v>5.0599999999999996</v>
      </c>
      <c r="D72" s="14">
        <f>D144+'NOG-REPR'!C74</f>
        <v>4.18</v>
      </c>
      <c r="E72" s="14">
        <f>E144+'NOG-REPR'!D74</f>
        <v>92</v>
      </c>
      <c r="F72" s="14">
        <f>F144+'NOG-REPR'!E74</f>
        <v>92</v>
      </c>
      <c r="G72" s="155">
        <f t="shared" si="13"/>
        <v>5.4999999999999993E-2</v>
      </c>
      <c r="H72" s="155">
        <f t="shared" si="14"/>
        <v>4.5434782608695649E-2</v>
      </c>
      <c r="I72" s="71">
        <f t="shared" si="15"/>
        <v>-0.87999999999999989</v>
      </c>
      <c r="J72" s="155">
        <f t="shared" si="16"/>
        <v>-0.17391304347826086</v>
      </c>
      <c r="K72" s="224">
        <f>F72/E72-1</f>
        <v>0</v>
      </c>
    </row>
    <row r="73" spans="2:27" x14ac:dyDescent="0.25">
      <c r="B73" s="206" t="s">
        <v>59</v>
      </c>
      <c r="C73" s="207">
        <f>C145+C204+'CAS-REPR'!B55+'NOG-REPR'!B75</f>
        <v>639433.91000000015</v>
      </c>
      <c r="D73" s="207">
        <f>D145+D204+'CAS-REPR'!C55+'NOG-REPR'!C75</f>
        <v>688610.88</v>
      </c>
      <c r="E73" s="207">
        <f>E145+E204+'CAS-REPR'!D55+'NOG-REPR'!D75</f>
        <v>829326.36470000003</v>
      </c>
      <c r="F73" s="207">
        <f>F145+F204+'CAS-REPR'!E55+'NOG-REPR'!E75</f>
        <v>872517.16480000003</v>
      </c>
      <c r="G73" s="208">
        <f t="shared" si="13"/>
        <v>0.77102807437131049</v>
      </c>
      <c r="H73" s="208">
        <f t="shared" si="14"/>
        <v>0.78922330445825062</v>
      </c>
      <c r="I73" s="209">
        <f t="shared" si="15"/>
        <v>49176.969999999856</v>
      </c>
      <c r="J73" s="208">
        <f t="shared" si="16"/>
        <v>7.6907041104529172E-2</v>
      </c>
      <c r="K73" s="225">
        <f>F73/E73-1</f>
        <v>5.2079376634340813E-2</v>
      </c>
    </row>
    <row r="74" spans="2:27" x14ac:dyDescent="0.25">
      <c r="C74" s="2"/>
      <c r="D74" s="176"/>
    </row>
    <row r="75" spans="2:27" ht="21" x14ac:dyDescent="0.35">
      <c r="B75" s="210" t="s">
        <v>259</v>
      </c>
    </row>
    <row r="76" spans="2:27" ht="45" customHeight="1" x14ac:dyDescent="0.25">
      <c r="B76" s="301" t="s">
        <v>2</v>
      </c>
      <c r="C76" s="301" t="s">
        <v>235</v>
      </c>
      <c r="D76" s="301"/>
      <c r="E76" s="302" t="s">
        <v>3</v>
      </c>
      <c r="F76" s="302"/>
      <c r="G76" s="302" t="s">
        <v>236</v>
      </c>
      <c r="H76" s="302"/>
      <c r="I76" s="302" t="s">
        <v>237</v>
      </c>
      <c r="J76" s="302"/>
      <c r="K76" s="226"/>
    </row>
    <row r="77" spans="2:27" ht="27.75" customHeight="1" x14ac:dyDescent="0.25">
      <c r="B77" s="301"/>
      <c r="C77" s="181">
        <v>2019</v>
      </c>
      <c r="D77" s="182">
        <v>2020</v>
      </c>
      <c r="E77" s="181">
        <v>2019</v>
      </c>
      <c r="F77" s="181">
        <v>2020</v>
      </c>
      <c r="G77" s="182">
        <v>2019</v>
      </c>
      <c r="H77" s="182">
        <v>2020</v>
      </c>
      <c r="I77" s="181" t="s">
        <v>4</v>
      </c>
      <c r="J77" s="4" t="s">
        <v>5</v>
      </c>
      <c r="K77" s="227"/>
      <c r="M77" s="172" t="s">
        <v>233</v>
      </c>
      <c r="N77" s="174" t="s">
        <v>239</v>
      </c>
      <c r="O77" s="172" t="s">
        <v>240</v>
      </c>
      <c r="P77" s="172" t="s">
        <v>241</v>
      </c>
      <c r="S77" s="172" t="s">
        <v>233</v>
      </c>
      <c r="T77" s="174" t="s">
        <v>248</v>
      </c>
      <c r="U77" s="172" t="s">
        <v>240</v>
      </c>
      <c r="V77" s="172" t="s">
        <v>5</v>
      </c>
      <c r="Z77" s="172" t="s">
        <v>160</v>
      </c>
      <c r="AA77" s="174" t="s">
        <v>240</v>
      </c>
    </row>
    <row r="78" spans="2:27" x14ac:dyDescent="0.25">
      <c r="B78" s="16" t="s">
        <v>49</v>
      </c>
      <c r="C78" s="17">
        <f>'PIS-REPR'!B8+'ALM-REPR'!D8+'AVE-REPR'!B9+'ALG-REPR'!B9</f>
        <v>141127.76</v>
      </c>
      <c r="D78" s="17">
        <f>'PIS-REPR'!C8+'ALM-REPR'!E8+'AVE-REPR'!C9+'ALG-REPR'!C9</f>
        <v>146421.24999999985</v>
      </c>
      <c r="E78" s="17">
        <f>'PIS-REPR'!D8+'ALM-REPR'!F8+'AVE-REPR'!D9+'ALG-REPR'!D9</f>
        <v>191204.76550000001</v>
      </c>
      <c r="F78" s="17">
        <f>'PIS-REPR'!E8+'ALM-REPR'!G8+'AVE-REPR'!E9+'ALG-REPR'!E9</f>
        <v>200397.4498</v>
      </c>
      <c r="G78" s="25">
        <f>IFERROR(C78/E78,"")</f>
        <v>0.73809750311897959</v>
      </c>
      <c r="H78" s="25">
        <f>IFERROR(D78/F78,"")</f>
        <v>0.73065425805633111</v>
      </c>
      <c r="I78" s="17">
        <f>IFERROR(D78-C78,"")</f>
        <v>5293.4899999998452</v>
      </c>
      <c r="J78" s="25">
        <f>IFERROR((D78/C78)-1,"")</f>
        <v>3.7508495848016299E-2</v>
      </c>
      <c r="K78" s="228"/>
      <c r="M78" s="173" t="s">
        <v>242</v>
      </c>
      <c r="N78" s="14">
        <f>'ALM-REPR'!G64</f>
        <v>600338</v>
      </c>
      <c r="O78" s="14">
        <f>'ALM-REPR'!E64</f>
        <v>497047.77999999985</v>
      </c>
      <c r="P78" s="166">
        <f>IFERROR(O78/N78,"")</f>
        <v>0.82794655677301765</v>
      </c>
      <c r="S78" s="173" t="s">
        <v>242</v>
      </c>
      <c r="T78" s="14">
        <f>'ALM-REPR'!D64</f>
        <v>481638.09</v>
      </c>
      <c r="U78" s="14">
        <f>'ALM-REPR'!E64</f>
        <v>497047.77999999985</v>
      </c>
      <c r="V78" s="175">
        <f>IFERROR((U78/T78)-1,"")</f>
        <v>3.1994334169043404E-2</v>
      </c>
      <c r="Z78" s="173" t="s">
        <v>242</v>
      </c>
      <c r="AA78" s="14">
        <f>'PIS-REPR'!E64+'PIS-REPR'!E124</f>
        <v>596911.08999999962</v>
      </c>
    </row>
    <row r="79" spans="2:27" x14ac:dyDescent="0.25">
      <c r="B79" s="156" t="s">
        <v>11</v>
      </c>
      <c r="C79" s="109">
        <f>'PIS-REPR'!B9+'ALM-REPR'!D9+'ALG-REPR'!B10</f>
        <v>43101.479999999996</v>
      </c>
      <c r="D79" s="109">
        <f>'PIS-REPR'!C9+'ALM-REPR'!E9+'ALG-REPR'!C10</f>
        <v>43553.969999999921</v>
      </c>
      <c r="E79" s="109">
        <f>'PIS-REPR'!D9+'ALM-REPR'!F9+'ALG-REPR'!D10</f>
        <v>55669.161</v>
      </c>
      <c r="F79" s="109">
        <f>'PIS-REPR'!E9+'ALM-REPR'!G9+'ALG-REPR'!E10</f>
        <v>56538.548600000002</v>
      </c>
      <c r="G79" s="155">
        <f t="shared" ref="G79:H142" si="17">IFERROR(C79/E79,"")</f>
        <v>0.77424339123774466</v>
      </c>
      <c r="H79" s="155">
        <f t="shared" si="17"/>
        <v>0.77034114031006307</v>
      </c>
      <c r="I79" s="71">
        <f t="shared" ref="I79:I142" si="18">IFERROR(D79-C79,"")</f>
        <v>452.4899999999252</v>
      </c>
      <c r="J79" s="155">
        <f t="shared" ref="J79:J142" si="19">IFERROR((D79/C79)-1,"")</f>
        <v>1.0498247391967253E-2</v>
      </c>
      <c r="K79" s="224"/>
      <c r="M79" s="173" t="s">
        <v>243</v>
      </c>
      <c r="N79" s="14">
        <f>'PIS-REPR'!E62</f>
        <v>33835</v>
      </c>
      <c r="O79" s="14">
        <f>'PIS-REPR'!C62</f>
        <v>36509.740000000005</v>
      </c>
      <c r="P79" s="166">
        <f>IFERROR(O79/N79,"")</f>
        <v>1.0790524604699276</v>
      </c>
      <c r="S79" s="173" t="s">
        <v>243</v>
      </c>
      <c r="T79" s="14">
        <f>'PIS-REPR'!B62</f>
        <v>29554.829999999998</v>
      </c>
      <c r="U79" s="14">
        <f>'PIS-REPR'!C62</f>
        <v>36509.740000000005</v>
      </c>
      <c r="V79" s="166">
        <f>IFERROR((U79/T79)-1,"")</f>
        <v>0.23532228065598781</v>
      </c>
      <c r="Z79" s="173" t="s">
        <v>243</v>
      </c>
      <c r="AA79" s="14">
        <f>'AVE-REPR'!C63+'AVE-REPR'!C119</f>
        <v>0</v>
      </c>
    </row>
    <row r="80" spans="2:27" x14ac:dyDescent="0.25">
      <c r="B80" s="13" t="s">
        <v>12</v>
      </c>
      <c r="C80" s="14">
        <f>'PIS-REPR'!B10+'ALM-REPR'!D10+'ALG-REPR'!B11</f>
        <v>755.14</v>
      </c>
      <c r="D80" s="14">
        <f>'PIS-REPR'!C10+'ALM-REPR'!E10+'ALG-REPR'!C11</f>
        <v>1032.7599999999998</v>
      </c>
      <c r="E80" s="14">
        <f>'PIS-REPR'!D10+'ALM-REPR'!F10+'ALG-REPR'!D11</f>
        <v>1881.0391</v>
      </c>
      <c r="F80" s="14">
        <f>'PIS-REPR'!E10+'ALM-REPR'!G10+'ALG-REPR'!E11</f>
        <v>2177.9584</v>
      </c>
      <c r="G80" s="155">
        <f t="shared" si="17"/>
        <v>0.40144832715066903</v>
      </c>
      <c r="H80" s="155">
        <f t="shared" si="17"/>
        <v>0.47418720210633947</v>
      </c>
      <c r="I80" s="71">
        <f t="shared" si="18"/>
        <v>277.61999999999978</v>
      </c>
      <c r="J80" s="155">
        <f t="shared" si="19"/>
        <v>0.3676404375347615</v>
      </c>
      <c r="K80" s="224"/>
      <c r="M80" s="173" t="s">
        <v>244</v>
      </c>
      <c r="N80" s="14">
        <f>'AVE-REPR'!E55</f>
        <v>4769</v>
      </c>
      <c r="O80" s="14">
        <f>'AVE-REPR'!C55</f>
        <v>3310.98</v>
      </c>
      <c r="P80" s="166">
        <f>IFERROR(O80/N80,"")</f>
        <v>0.69427133570979238</v>
      </c>
      <c r="S80" s="173" t="s">
        <v>244</v>
      </c>
      <c r="T80" s="14">
        <f>'AVE-REPR'!B55</f>
        <v>3461.3599999999997</v>
      </c>
      <c r="U80" s="14">
        <f>'AVE-REPR'!C55</f>
        <v>3310.98</v>
      </c>
      <c r="V80" s="175">
        <f>IFERROR((U80/T80)-1,"")</f>
        <v>-4.3445350960316098E-2</v>
      </c>
      <c r="Z80" s="173" t="s">
        <v>244</v>
      </c>
      <c r="AA80" s="14">
        <f>'ALG-REPR'!C55+'ALG-REPR'!C90</f>
        <v>419.01000000000005</v>
      </c>
    </row>
    <row r="81" spans="2:27" x14ac:dyDescent="0.25">
      <c r="B81" s="13" t="s">
        <v>13</v>
      </c>
      <c r="C81" s="14">
        <f>'PIS-REPR'!B11+'ALM-REPR'!D11+'AVE-REPR'!B10+'ALG-REPR'!B12</f>
        <v>2372.0100000000002</v>
      </c>
      <c r="D81" s="14">
        <f>'PIS-REPR'!C11+'ALM-REPR'!E11+'AVE-REPR'!C10+'ALG-REPR'!C12</f>
        <v>4151.3500000000031</v>
      </c>
      <c r="E81" s="14">
        <f>'PIS-REPR'!D11+'ALM-REPR'!F11+'AVE-REPR'!D10+'ALG-REPR'!D12</f>
        <v>2442</v>
      </c>
      <c r="F81" s="14">
        <f>'PIS-REPR'!E11+'ALM-REPR'!G11+'AVE-REPR'!E10+'ALG-REPR'!E12</f>
        <v>4140</v>
      </c>
      <c r="G81" s="155">
        <f t="shared" si="17"/>
        <v>0.97133906633906641</v>
      </c>
      <c r="H81" s="155">
        <f t="shared" si="17"/>
        <v>1.0027415458937206</v>
      </c>
      <c r="I81" s="71">
        <f t="shared" si="18"/>
        <v>1779.3400000000029</v>
      </c>
      <c r="J81" s="155">
        <f t="shared" si="19"/>
        <v>0.75014017647480524</v>
      </c>
      <c r="K81" s="224"/>
      <c r="M81" s="173" t="s">
        <v>245</v>
      </c>
      <c r="N81" s="14">
        <f>'ALG-REPR'!E35</f>
        <v>41307.164800000013</v>
      </c>
      <c r="O81" s="14">
        <f>'ALG-REPR'!C35</f>
        <v>14371.140000000003</v>
      </c>
      <c r="P81" s="166">
        <f>IFERROR(O81/N81,"")</f>
        <v>0.34790913560835818</v>
      </c>
      <c r="S81" s="173" t="s">
        <v>245</v>
      </c>
      <c r="T81" s="14">
        <f>'ALG-REPR'!B35</f>
        <v>13200.529999999999</v>
      </c>
      <c r="U81" s="14">
        <f>'ALG-REPR'!C35</f>
        <v>14371.140000000003</v>
      </c>
      <c r="V81" s="166">
        <f>IFERROR((U81/T81)-1,"")</f>
        <v>8.867901516075527E-2</v>
      </c>
      <c r="Z81" s="173" t="s">
        <v>245</v>
      </c>
      <c r="AA81" s="14">
        <f>'CAS-REPR'!C34+'CAS-REPR'!C61</f>
        <v>15087.090000000004</v>
      </c>
    </row>
    <row r="82" spans="2:27" x14ac:dyDescent="0.25">
      <c r="B82" s="13" t="s">
        <v>14</v>
      </c>
      <c r="C82" s="14">
        <f>'PIS-REPR'!B12+'ALM-REPR'!D12+'ALG-REPR'!B13</f>
        <v>79887.630000000034</v>
      </c>
      <c r="D82" s="14">
        <f>'PIS-REPR'!C12+'ALM-REPR'!E12+'ALG-REPR'!C13</f>
        <v>81811.959999999919</v>
      </c>
      <c r="E82" s="14">
        <f>'PIS-REPR'!D12+'ALM-REPR'!F12+'ALG-REPR'!D13</f>
        <v>103843.4164</v>
      </c>
      <c r="F82" s="14">
        <f>'PIS-REPR'!E12+'ALM-REPR'!G12+'ALG-REPR'!E13</f>
        <v>108969.4446</v>
      </c>
      <c r="G82" s="155">
        <f t="shared" si="17"/>
        <v>0.76930856831863659</v>
      </c>
      <c r="H82" s="155">
        <f t="shared" si="17"/>
        <v>0.75077890229055932</v>
      </c>
      <c r="I82" s="71">
        <f t="shared" si="18"/>
        <v>1924.3299999998853</v>
      </c>
      <c r="J82" s="155">
        <f t="shared" si="19"/>
        <v>2.4087959550181726E-2</v>
      </c>
      <c r="K82" s="224"/>
      <c r="M82" s="167"/>
      <c r="N82" s="158"/>
      <c r="O82" s="158"/>
      <c r="P82" s="168">
        <f>SUM(O78:O81)/SUM(N78:N81)</f>
        <v>0.8103496020639287</v>
      </c>
      <c r="Z82" s="173" t="s">
        <v>246</v>
      </c>
      <c r="AA82" s="14">
        <f>'NOG-REPR'!C55</f>
        <v>9694.3499999999949</v>
      </c>
    </row>
    <row r="83" spans="2:27" x14ac:dyDescent="0.25">
      <c r="B83" s="13" t="s">
        <v>15</v>
      </c>
      <c r="C83" s="14">
        <f>'PIS-REPR'!B13+'ALM-REPR'!D13+'ALG-REPR'!B14</f>
        <v>1444.32</v>
      </c>
      <c r="D83" s="14">
        <f>'PIS-REPR'!C13+'ALM-REPR'!E13+'ALG-REPR'!C14</f>
        <v>1460.2499999999998</v>
      </c>
      <c r="E83" s="14">
        <f>'PIS-REPR'!D13+'ALM-REPR'!F13+'ALG-REPR'!D14</f>
        <v>732</v>
      </c>
      <c r="F83" s="14">
        <f>'PIS-REPR'!E13+'ALM-REPR'!G13+'ALG-REPR'!E14</f>
        <v>708</v>
      </c>
      <c r="G83" s="155">
        <f t="shared" si="17"/>
        <v>1.9731147540983607</v>
      </c>
      <c r="H83" s="155">
        <f t="shared" si="17"/>
        <v>2.0624999999999996</v>
      </c>
      <c r="I83" s="71">
        <f t="shared" si="18"/>
        <v>15.929999999999836</v>
      </c>
      <c r="J83" s="155">
        <f t="shared" si="19"/>
        <v>1.1029411764705843E-2</v>
      </c>
      <c r="K83" s="224"/>
      <c r="M83" s="167"/>
      <c r="N83" s="158"/>
      <c r="O83" s="158"/>
      <c r="P83" s="168"/>
      <c r="Z83" s="173" t="s">
        <v>247</v>
      </c>
      <c r="AA83" s="14">
        <f>'ALM-EDAD'!C76</f>
        <v>0</v>
      </c>
    </row>
    <row r="84" spans="2:27" x14ac:dyDescent="0.25">
      <c r="B84" s="13" t="s">
        <v>16</v>
      </c>
      <c r="C84" s="14">
        <f>'PIS-REPR'!B14+'ALM-REPR'!D14+'ALG-REPR'!B15</f>
        <v>3291.3700000000003</v>
      </c>
      <c r="D84" s="14">
        <f>'PIS-REPR'!C14+'ALM-REPR'!E14+'ALG-REPR'!C15</f>
        <v>3508.66</v>
      </c>
      <c r="E84" s="14">
        <f>'PIS-REPR'!D14+'ALM-REPR'!F14+'ALG-REPR'!D15</f>
        <v>4522</v>
      </c>
      <c r="F84" s="14">
        <f>'PIS-REPR'!E14+'ALM-REPR'!G14+'ALG-REPR'!E15</f>
        <v>4942</v>
      </c>
      <c r="G84" s="155">
        <f t="shared" si="17"/>
        <v>0.72785714285714298</v>
      </c>
      <c r="H84" s="155">
        <f t="shared" si="17"/>
        <v>0.70996762444354511</v>
      </c>
      <c r="I84" s="71">
        <f t="shared" si="18"/>
        <v>217.28999999999951</v>
      </c>
      <c r="J84" s="155">
        <f t="shared" si="19"/>
        <v>6.6018101884625313E-2</v>
      </c>
      <c r="K84" s="224"/>
    </row>
    <row r="85" spans="2:27" x14ac:dyDescent="0.25">
      <c r="B85" s="13" t="s">
        <v>17</v>
      </c>
      <c r="C85" s="14">
        <f>'PIS-REPR'!B15+'ALM-REPR'!D15+'AVE-REPR'!B11+'ALG-REPR'!B16</f>
        <v>7305.5700000000006</v>
      </c>
      <c r="D85" s="14">
        <f>'PIS-REPR'!C15+'ALM-REPR'!E15+'AVE-REPR'!C11+'ALG-REPR'!C16</f>
        <v>7459.1799999999957</v>
      </c>
      <c r="E85" s="14">
        <f>'PIS-REPR'!D15+'ALM-REPR'!F15+'AVE-REPR'!D11+'ALG-REPR'!D16</f>
        <v>19093.107499999998</v>
      </c>
      <c r="F85" s="14">
        <f>'PIS-REPR'!E15+'ALM-REPR'!G15+'AVE-REPR'!E11+'ALG-REPR'!E16</f>
        <v>19362.457600000002</v>
      </c>
      <c r="G85" s="155">
        <f t="shared" si="17"/>
        <v>0.38262865277430619</v>
      </c>
      <c r="H85" s="155">
        <f t="shared" si="17"/>
        <v>0.38523932003342359</v>
      </c>
      <c r="I85" s="71">
        <f t="shared" si="18"/>
        <v>153.60999999999513</v>
      </c>
      <c r="J85" s="155">
        <f t="shared" si="19"/>
        <v>2.1026422305171932E-2</v>
      </c>
      <c r="K85" s="224"/>
    </row>
    <row r="86" spans="2:27" x14ac:dyDescent="0.25">
      <c r="B86" s="13" t="s">
        <v>18</v>
      </c>
      <c r="C86" s="14">
        <f>'PIS-REPR'!B16+'ALM-REPR'!D16+'ALG-REPR'!B17</f>
        <v>2970.24</v>
      </c>
      <c r="D86" s="14">
        <f>'PIS-REPR'!C16+'ALM-REPR'!E16+'ALG-REPR'!C17</f>
        <v>3443.12</v>
      </c>
      <c r="E86" s="14">
        <f>'PIS-REPR'!D16+'ALM-REPR'!F16+'ALG-REPR'!D17</f>
        <v>3022.0414999999998</v>
      </c>
      <c r="F86" s="14">
        <f>'PIS-REPR'!E16+'ALM-REPR'!G16+'ALG-REPR'!E17</f>
        <v>3559.0405999999998</v>
      </c>
      <c r="G86" s="155">
        <f t="shared" si="17"/>
        <v>0.98285877278654177</v>
      </c>
      <c r="H86" s="155">
        <f t="shared" si="17"/>
        <v>0.96742925607535923</v>
      </c>
      <c r="I86" s="71">
        <f t="shared" si="18"/>
        <v>472.88000000000011</v>
      </c>
      <c r="J86" s="155">
        <f t="shared" si="19"/>
        <v>0.15920599008834313</v>
      </c>
      <c r="K86" s="224"/>
    </row>
    <row r="87" spans="2:27" x14ac:dyDescent="0.25">
      <c r="B87" s="16" t="s">
        <v>50</v>
      </c>
      <c r="C87" s="17">
        <f>'PIS-REPR'!B17+'ALM-REPR'!D17+'AVE-REPR'!B12</f>
        <v>57092.100000000006</v>
      </c>
      <c r="D87" s="17">
        <f>'PIS-REPR'!C17+'ALM-REPR'!E17+'AVE-REPR'!C12</f>
        <v>59254.609999999957</v>
      </c>
      <c r="E87" s="17">
        <f>'PIS-REPR'!D17+'ALM-REPR'!F17+'AVE-REPR'!D12</f>
        <v>61111</v>
      </c>
      <c r="F87" s="17">
        <f>'PIS-REPR'!E17+'ALM-REPR'!G17+'AVE-REPR'!E12</f>
        <v>64022</v>
      </c>
      <c r="G87" s="25">
        <f t="shared" si="17"/>
        <v>0.93423606224738598</v>
      </c>
      <c r="H87" s="25">
        <f t="shared" si="17"/>
        <v>0.92553512854956044</v>
      </c>
      <c r="I87" s="17">
        <f t="shared" si="18"/>
        <v>2162.5099999999511</v>
      </c>
      <c r="J87" s="25">
        <f t="shared" si="19"/>
        <v>3.787756975133072E-2</v>
      </c>
      <c r="K87" s="228"/>
    </row>
    <row r="88" spans="2:27" x14ac:dyDescent="0.25">
      <c r="B88" s="13" t="s">
        <v>19</v>
      </c>
      <c r="C88" s="71">
        <f>'PIS-REPR'!B18+'ALM-REPR'!D18+'AVE-REPR'!B13</f>
        <v>8908.8799999999974</v>
      </c>
      <c r="D88" s="71">
        <f>'PIS-REPR'!C18+'ALM-REPR'!E18+'AVE-REPR'!C13</f>
        <v>9097.700000000008</v>
      </c>
      <c r="E88" s="71">
        <f>'PIS-REPR'!D18+'ALM-REPR'!F18+'AVE-REPR'!D13</f>
        <v>9852</v>
      </c>
      <c r="F88" s="71">
        <f>'PIS-REPR'!E18+'ALM-REPR'!G18+'AVE-REPR'!E13</f>
        <v>11736</v>
      </c>
      <c r="G88" s="155">
        <f t="shared" si="17"/>
        <v>0.90427121396670695</v>
      </c>
      <c r="H88" s="155">
        <f t="shared" si="17"/>
        <v>0.77519597818677644</v>
      </c>
      <c r="I88" s="71">
        <f t="shared" si="18"/>
        <v>188.82000000001062</v>
      </c>
      <c r="J88" s="155">
        <f t="shared" si="19"/>
        <v>2.1194583381975107E-2</v>
      </c>
      <c r="K88" s="224"/>
    </row>
    <row r="89" spans="2:27" x14ac:dyDescent="0.25">
      <c r="B89" s="13" t="s">
        <v>20</v>
      </c>
      <c r="C89" s="71">
        <f>'PIS-REPR'!B19+'ALM-REPR'!D19+'AVE-REPR'!B14</f>
        <v>17933.39</v>
      </c>
      <c r="D89" s="71">
        <f>'PIS-REPR'!C19+'ALM-REPR'!E19+'AVE-REPR'!C14</f>
        <v>18526.869999999981</v>
      </c>
      <c r="E89" s="71">
        <f>'PIS-REPR'!D19+'ALM-REPR'!F19+'AVE-REPR'!D14</f>
        <v>20367</v>
      </c>
      <c r="F89" s="71">
        <f>'PIS-REPR'!E19+'ALM-REPR'!G19+'AVE-REPR'!E14</f>
        <v>20834</v>
      </c>
      <c r="G89" s="155">
        <f t="shared" si="17"/>
        <v>0.88051210291157256</v>
      </c>
      <c r="H89" s="155">
        <f t="shared" si="17"/>
        <v>0.88926130363828271</v>
      </c>
      <c r="I89" s="71">
        <f t="shared" si="18"/>
        <v>593.47999999998137</v>
      </c>
      <c r="J89" s="155">
        <f t="shared" si="19"/>
        <v>3.3093575726618418E-2</v>
      </c>
      <c r="K89" s="224"/>
    </row>
    <row r="90" spans="2:27" x14ac:dyDescent="0.25">
      <c r="B90" s="13" t="s">
        <v>21</v>
      </c>
      <c r="C90" s="71">
        <f>'PIS-REPR'!B20+'ALM-REPR'!D20+'AVE-REPR'!B15</f>
        <v>30249.830000000005</v>
      </c>
      <c r="D90" s="71">
        <f>'PIS-REPR'!C20+'ALM-REPR'!E20+'AVE-REPR'!C15</f>
        <v>31630.039999999961</v>
      </c>
      <c r="E90" s="71">
        <f>'PIS-REPR'!D20+'ALM-REPR'!F20+'AVE-REPR'!D15</f>
        <v>30892</v>
      </c>
      <c r="F90" s="71">
        <f>'PIS-REPR'!E20+'ALM-REPR'!G20+'AVE-REPR'!E15</f>
        <v>31452</v>
      </c>
      <c r="G90" s="155">
        <f t="shared" si="17"/>
        <v>0.97921241745435728</v>
      </c>
      <c r="H90" s="155">
        <f t="shared" si="17"/>
        <v>1.0056606893043356</v>
      </c>
      <c r="I90" s="71">
        <f t="shared" si="18"/>
        <v>1380.2099999999555</v>
      </c>
      <c r="J90" s="155">
        <f t="shared" si="19"/>
        <v>4.5627033275887907E-2</v>
      </c>
      <c r="K90" s="224"/>
    </row>
    <row r="91" spans="2:27" x14ac:dyDescent="0.25">
      <c r="B91" s="16" t="s">
        <v>63</v>
      </c>
      <c r="C91" s="17">
        <f>'AVE-REPR'!B16</f>
        <v>0.5</v>
      </c>
      <c r="D91" s="17">
        <f>'AVE-REPR'!C16</f>
        <v>0.45</v>
      </c>
      <c r="E91" s="17">
        <f>'AVE-REPR'!D16</f>
        <v>0</v>
      </c>
      <c r="F91" s="17">
        <f>'AVE-REPR'!E16</f>
        <v>0</v>
      </c>
      <c r="G91" s="25" t="str">
        <f t="shared" si="17"/>
        <v/>
      </c>
      <c r="H91" s="25" t="str">
        <f t="shared" si="17"/>
        <v/>
      </c>
      <c r="I91" s="17">
        <f t="shared" si="18"/>
        <v>-4.9999999999999989E-2</v>
      </c>
      <c r="J91" s="25">
        <f t="shared" si="19"/>
        <v>-9.9999999999999978E-2</v>
      </c>
      <c r="K91" s="228"/>
    </row>
    <row r="92" spans="2:27" x14ac:dyDescent="0.25">
      <c r="B92" s="13" t="s">
        <v>64</v>
      </c>
      <c r="C92" s="71">
        <f>'AVE-REPR'!B17</f>
        <v>0.5</v>
      </c>
      <c r="D92" s="71">
        <f>'AVE-REPR'!C17</f>
        <v>0.45</v>
      </c>
      <c r="E92" s="71">
        <f>'AVE-REPR'!D17</f>
        <v>0</v>
      </c>
      <c r="F92" s="71">
        <f>'AVE-REPR'!E17</f>
        <v>0</v>
      </c>
      <c r="G92" s="155" t="str">
        <f>IFERROR(C92/E92,"")</f>
        <v/>
      </c>
      <c r="H92" s="155" t="str">
        <f t="shared" si="17"/>
        <v/>
      </c>
      <c r="I92" s="71">
        <f t="shared" si="18"/>
        <v>-4.9999999999999989E-2</v>
      </c>
      <c r="J92" s="155">
        <f t="shared" si="19"/>
        <v>-9.9999999999999978E-2</v>
      </c>
      <c r="K92" s="224"/>
    </row>
    <row r="93" spans="2:27" x14ac:dyDescent="0.25">
      <c r="B93" s="16" t="s">
        <v>60</v>
      </c>
      <c r="C93" s="17">
        <f>'PIS-REPR'!B21+'ALM-REPR'!D21+'AVE-REPR'!B18+'ALG-REPR'!B21</f>
        <v>58989.280000000013</v>
      </c>
      <c r="D93" s="17">
        <f>'PIS-REPR'!C21+'ALM-REPR'!E21+'AVE-REPR'!C18+'ALG-REPR'!C21</f>
        <v>60880.039999999972</v>
      </c>
      <c r="E93" s="17">
        <f>'PIS-REPR'!D21+'ALM-REPR'!F21+'AVE-REPR'!D18+'ALG-REPR'!D21</f>
        <v>95845.871499999994</v>
      </c>
      <c r="F93" s="17">
        <f>'PIS-REPR'!E21+'ALM-REPR'!G21+'AVE-REPR'!E18+'ALG-REPR'!E21</f>
        <v>95863.753100000002</v>
      </c>
      <c r="G93" s="25">
        <f t="shared" si="17"/>
        <v>0.61545979056594025</v>
      </c>
      <c r="H93" s="25">
        <f t="shared" si="17"/>
        <v>0.63506839687877781</v>
      </c>
      <c r="I93" s="17">
        <f t="shared" si="18"/>
        <v>1890.7599999999584</v>
      </c>
      <c r="J93" s="25">
        <f t="shared" si="19"/>
        <v>3.2052603456084849E-2</v>
      </c>
      <c r="K93" s="228"/>
    </row>
    <row r="94" spans="2:27" x14ac:dyDescent="0.25">
      <c r="B94" s="13" t="s">
        <v>22</v>
      </c>
      <c r="C94" s="71">
        <f>'PIS-REPR'!B22+'ALM-REPR'!D22+'AVE-REPR'!B19+'ALG-REPR'!B22</f>
        <v>11544.870000000004</v>
      </c>
      <c r="D94" s="71">
        <f>'PIS-REPR'!C22+'ALM-REPR'!E22+'AVE-REPR'!C19+'ALG-REPR'!C22</f>
        <v>11949.939999999986</v>
      </c>
      <c r="E94" s="71">
        <f>'PIS-REPR'!D22+'ALM-REPR'!F22+'AVE-REPR'!D19+'ALG-REPR'!D22</f>
        <v>16740.0821</v>
      </c>
      <c r="F94" s="71">
        <f>'PIS-REPR'!E22+'ALM-REPR'!G22+'AVE-REPR'!E19+'ALG-REPR'!E22</f>
        <v>16712.232</v>
      </c>
      <c r="G94" s="155">
        <f t="shared" si="17"/>
        <v>0.68965432373835278</v>
      </c>
      <c r="H94" s="155">
        <f t="shared" si="17"/>
        <v>0.71504153365032186</v>
      </c>
      <c r="I94" s="71">
        <f t="shared" si="18"/>
        <v>405.06999999998152</v>
      </c>
      <c r="J94" s="155">
        <f t="shared" si="19"/>
        <v>3.5086579580366095E-2</v>
      </c>
      <c r="K94" s="224"/>
    </row>
    <row r="95" spans="2:27" x14ac:dyDescent="0.25">
      <c r="B95" s="13" t="s">
        <v>23</v>
      </c>
      <c r="C95" s="71">
        <f>'PIS-REPR'!B23+'ALM-REPR'!D23+'AVE-REPR'!B20+'ALG-REPR'!B23</f>
        <v>20340.819999999996</v>
      </c>
      <c r="D95" s="71">
        <f>'PIS-REPR'!C23+'ALM-REPR'!E23+'AVE-REPR'!C20+'ALG-REPR'!C23</f>
        <v>21059.809999999998</v>
      </c>
      <c r="E95" s="71">
        <f>'PIS-REPR'!D23+'ALM-REPR'!F23+'AVE-REPR'!D20+'ALG-REPR'!D23</f>
        <v>41652.089699999997</v>
      </c>
      <c r="F95" s="71">
        <f>'PIS-REPR'!E23+'ALM-REPR'!G23+'AVE-REPR'!E20+'ALG-REPR'!E23</f>
        <v>41101.058600000004</v>
      </c>
      <c r="G95" s="155">
        <f t="shared" si="17"/>
        <v>0.48835052806486196</v>
      </c>
      <c r="H95" s="155">
        <f t="shared" si="17"/>
        <v>0.51239093875796171</v>
      </c>
      <c r="I95" s="71">
        <f t="shared" si="18"/>
        <v>718.9900000000016</v>
      </c>
      <c r="J95" s="155">
        <f t="shared" si="19"/>
        <v>3.5347149229972175E-2</v>
      </c>
      <c r="K95" s="224"/>
    </row>
    <row r="96" spans="2:27" x14ac:dyDescent="0.25">
      <c r="B96" s="13" t="s">
        <v>24</v>
      </c>
      <c r="C96" s="71">
        <f>'PIS-REPR'!B24+'ALM-REPR'!D24+'AVE-REPR'!B21+'ALG-REPR'!B24</f>
        <v>27103.590000000004</v>
      </c>
      <c r="D96" s="71">
        <f>'PIS-REPR'!C24+'ALM-REPR'!E24+'AVE-REPR'!C21+'ALG-REPR'!C24</f>
        <v>27870.290000000005</v>
      </c>
      <c r="E96" s="71">
        <f>'PIS-REPR'!D24+'ALM-REPR'!F24+'AVE-REPR'!D21+'ALG-REPR'!D24</f>
        <v>37453.699699999997</v>
      </c>
      <c r="F96" s="71">
        <f>'PIS-REPR'!E24+'ALM-REPR'!G24+'AVE-REPR'!E21+'ALG-REPR'!E24</f>
        <v>38050.462500000001</v>
      </c>
      <c r="G96" s="155">
        <f t="shared" si="17"/>
        <v>0.72365587958190436</v>
      </c>
      <c r="H96" s="155">
        <f t="shared" si="17"/>
        <v>0.73245601153993867</v>
      </c>
      <c r="I96" s="71">
        <f t="shared" si="18"/>
        <v>766.70000000000073</v>
      </c>
      <c r="J96" s="155">
        <f t="shared" si="19"/>
        <v>2.8287765569062984E-2</v>
      </c>
      <c r="K96" s="224"/>
    </row>
    <row r="97" spans="2:11" x14ac:dyDescent="0.25">
      <c r="B97" s="16" t="s">
        <v>51</v>
      </c>
      <c r="C97" s="17">
        <f>'PIS-REPR'!B25+'ALM-REPR'!D25+'AVE-REPR'!B34+'ALG-REPR'!B25</f>
        <v>31180.060000000005</v>
      </c>
      <c r="D97" s="17">
        <f>'PIS-REPR'!C25+'ALM-REPR'!E25+'AVE-REPR'!C34+'ALG-REPR'!C25</f>
        <v>29955.109999999986</v>
      </c>
      <c r="E97" s="17">
        <f>'PIS-REPR'!D25+'ALM-REPR'!F25+'AVE-REPR'!D34+'ALG-REPR'!D25</f>
        <v>40278.624300000003</v>
      </c>
      <c r="F97" s="17">
        <f>'PIS-REPR'!E25+'ALM-REPR'!G25+'AVE-REPR'!E34+'ALG-REPR'!E25</f>
        <v>39012.7255</v>
      </c>
      <c r="G97" s="25">
        <f t="shared" si="17"/>
        <v>0.77410935804974856</v>
      </c>
      <c r="H97" s="25">
        <f t="shared" si="17"/>
        <v>0.76782920485778383</v>
      </c>
      <c r="I97" s="17">
        <f t="shared" si="18"/>
        <v>-1224.9500000000189</v>
      </c>
      <c r="J97" s="25">
        <f t="shared" si="19"/>
        <v>-3.9286325940361189E-2</v>
      </c>
      <c r="K97" s="228"/>
    </row>
    <row r="98" spans="2:11" x14ac:dyDescent="0.25">
      <c r="B98" s="13" t="s">
        <v>25</v>
      </c>
      <c r="C98" s="71">
        <f>'PIS-REPR'!B26+'ALM-REPR'!D26+'AVE-REPR'!B35+'ALG-REPR'!B26</f>
        <v>749.0200000000001</v>
      </c>
      <c r="D98" s="71">
        <f>'PIS-REPR'!C26+'ALM-REPR'!E26+'AVE-REPR'!C35+'ALG-REPR'!C26</f>
        <v>741.6600000000002</v>
      </c>
      <c r="E98" s="71">
        <f>'PIS-REPR'!D26+'ALM-REPR'!F26+'AVE-REPR'!D35+'ALG-REPR'!D26</f>
        <v>719.37509999999997</v>
      </c>
      <c r="F98" s="71">
        <f>'PIS-REPR'!E26+'ALM-REPR'!G26+'AVE-REPR'!E35+'ALG-REPR'!E26</f>
        <v>737.375</v>
      </c>
      <c r="G98" s="155">
        <f t="shared" si="17"/>
        <v>1.0412092384070566</v>
      </c>
      <c r="H98" s="155">
        <f t="shared" si="17"/>
        <v>1.0058111544329551</v>
      </c>
      <c r="I98" s="71">
        <f t="shared" si="18"/>
        <v>-7.3599999999999</v>
      </c>
      <c r="J98" s="155">
        <f t="shared" si="19"/>
        <v>-9.8261728658779468E-3</v>
      </c>
      <c r="K98" s="224"/>
    </row>
    <row r="99" spans="2:11" x14ac:dyDescent="0.25">
      <c r="B99" s="13" t="s">
        <v>26</v>
      </c>
      <c r="C99" s="71">
        <f>'PIS-REPR'!B27+'ALM-REPR'!D27+'AVE-REPR'!B36+'ALG-REPR'!B27</f>
        <v>414.98</v>
      </c>
      <c r="D99" s="71">
        <f>'PIS-REPR'!C27+'ALM-REPR'!E27+'AVE-REPR'!C36+'ALG-REPR'!C27</f>
        <v>401.51000000000005</v>
      </c>
      <c r="E99" s="71">
        <f>'PIS-REPR'!D27+'ALM-REPR'!F27+'AVE-REPR'!D36+'ALG-REPR'!D27</f>
        <v>531.63779999999997</v>
      </c>
      <c r="F99" s="71">
        <f>'PIS-REPR'!E27+'ALM-REPR'!G27+'AVE-REPR'!E36+'ALG-REPR'!E27</f>
        <v>516.63630000000001</v>
      </c>
      <c r="G99" s="155">
        <f t="shared" si="17"/>
        <v>0.78056902650639226</v>
      </c>
      <c r="H99" s="155">
        <f t="shared" si="17"/>
        <v>0.77716180609066776</v>
      </c>
      <c r="I99" s="71">
        <f t="shared" si="18"/>
        <v>-13.46999999999997</v>
      </c>
      <c r="J99" s="155">
        <f t="shared" si="19"/>
        <v>-3.2459395633524402E-2</v>
      </c>
      <c r="K99" s="224"/>
    </row>
    <row r="100" spans="2:11" x14ac:dyDescent="0.25">
      <c r="B100" s="13" t="s">
        <v>27</v>
      </c>
      <c r="C100" s="14">
        <f>'PIS-REPR'!B28+'ALM-REPR'!D28+'AVE-REPR'!B37</f>
        <v>11837.070000000003</v>
      </c>
      <c r="D100" s="14">
        <f>'PIS-REPR'!C28+'ALM-REPR'!E28+'AVE-REPR'!C37</f>
        <v>11390.129999999983</v>
      </c>
      <c r="E100" s="14">
        <f>'PIS-REPR'!D28+'ALM-REPR'!F28+'AVE-REPR'!D37</f>
        <v>12926</v>
      </c>
      <c r="F100" s="14">
        <f>'PIS-REPR'!E28+'ALM-REPR'!G28+'AVE-REPR'!E37</f>
        <v>12612</v>
      </c>
      <c r="G100" s="155">
        <f t="shared" si="17"/>
        <v>0.91575661457527491</v>
      </c>
      <c r="H100" s="155">
        <f t="shared" si="17"/>
        <v>0.9031184586108455</v>
      </c>
      <c r="I100" s="71">
        <f t="shared" si="18"/>
        <v>-446.94000000002052</v>
      </c>
      <c r="J100" s="155">
        <f t="shared" si="19"/>
        <v>-3.7757654554718356E-2</v>
      </c>
      <c r="K100" s="224"/>
    </row>
    <row r="101" spans="2:11" x14ac:dyDescent="0.25">
      <c r="B101" s="13" t="s">
        <v>28</v>
      </c>
      <c r="C101" s="14">
        <f>'PIS-REPR'!B29+'ALM-REPR'!D29+'AVE-REPR'!B38+'ALG-REPR'!B28</f>
        <v>18178.990000000002</v>
      </c>
      <c r="D101" s="14">
        <f>'PIS-REPR'!C29+'ALM-REPR'!E29+'AVE-REPR'!C38+'ALG-REPR'!C28</f>
        <v>17421.810000000001</v>
      </c>
      <c r="E101" s="14">
        <f>'PIS-REPR'!D29+'ALM-REPR'!F29+'AVE-REPR'!D38+'ALG-REPR'!D28</f>
        <v>25900.611400000002</v>
      </c>
      <c r="F101" s="14">
        <f>'PIS-REPR'!E29+'ALM-REPR'!G29+'AVE-REPR'!E38+'ALG-REPR'!E28</f>
        <v>25146.714200000002</v>
      </c>
      <c r="G101" s="155">
        <f t="shared" si="17"/>
        <v>0.70187493720708083</v>
      </c>
      <c r="H101" s="155">
        <f t="shared" si="17"/>
        <v>0.69280661725578441</v>
      </c>
      <c r="I101" s="71">
        <f t="shared" si="18"/>
        <v>-757.18000000000029</v>
      </c>
      <c r="J101" s="155">
        <f t="shared" si="19"/>
        <v>-4.1651378871983558E-2</v>
      </c>
      <c r="K101" s="224"/>
    </row>
    <row r="102" spans="2:11" x14ac:dyDescent="0.25">
      <c r="B102" s="16" t="s">
        <v>52</v>
      </c>
      <c r="C102" s="17">
        <f>'PIS-REPR'!B30+'ALM-REPR'!D30+'AVE-REPR'!B27+'ALG-REPR'!B18</f>
        <v>139129.76999999999</v>
      </c>
      <c r="D102" s="17">
        <f>'PIS-REPR'!C30+'ALM-REPR'!E30+'AVE-REPR'!C27+'ALG-REPR'!C18</f>
        <v>152062.26999999999</v>
      </c>
      <c r="E102" s="17">
        <f>'PIS-REPR'!D30+'ALM-REPR'!F30+'AVE-REPR'!D27+'ALG-REPR'!D18</f>
        <v>134300.9927</v>
      </c>
      <c r="F102" s="17">
        <f>'PIS-REPR'!E30+'ALM-REPR'!G30+'AVE-REPR'!E27+'ALG-REPR'!E18</f>
        <v>145955.9927</v>
      </c>
      <c r="G102" s="25">
        <f t="shared" si="17"/>
        <v>1.0359548891108084</v>
      </c>
      <c r="H102" s="25">
        <f t="shared" si="17"/>
        <v>1.0418364274535197</v>
      </c>
      <c r="I102" s="17">
        <f t="shared" si="18"/>
        <v>12932.5</v>
      </c>
      <c r="J102" s="25">
        <f t="shared" si="19"/>
        <v>9.2952787890039579E-2</v>
      </c>
      <c r="K102" s="228"/>
    </row>
    <row r="103" spans="2:11" x14ac:dyDescent="0.25">
      <c r="B103" s="13" t="s">
        <v>29</v>
      </c>
      <c r="C103" s="14">
        <f>'PIS-REPR'!B31+'ALM-REPR'!D31+'AVE-REPR'!B28</f>
        <v>65781.77</v>
      </c>
      <c r="D103" s="14">
        <f>'PIS-REPR'!C31+'ALM-REPR'!E31+'AVE-REPR'!C28</f>
        <v>70156.359999999928</v>
      </c>
      <c r="E103" s="14">
        <f>'PIS-REPR'!D31+'ALM-REPR'!F31+'AVE-REPR'!D28</f>
        <v>60773</v>
      </c>
      <c r="F103" s="14">
        <f>'PIS-REPR'!E31+'ALM-REPR'!G31+'AVE-REPR'!E28</f>
        <v>64006</v>
      </c>
      <c r="G103" s="155">
        <f t="shared" si="17"/>
        <v>1.0824176854853307</v>
      </c>
      <c r="H103" s="155">
        <f t="shared" si="17"/>
        <v>1.096090366528137</v>
      </c>
      <c r="I103" s="71">
        <f t="shared" si="18"/>
        <v>4374.5899999999237</v>
      </c>
      <c r="J103" s="155">
        <f t="shared" si="19"/>
        <v>6.6501555066090789E-2</v>
      </c>
      <c r="K103" s="224"/>
    </row>
    <row r="104" spans="2:11" x14ac:dyDescent="0.25">
      <c r="B104" s="13" t="s">
        <v>30</v>
      </c>
      <c r="C104" s="14">
        <f>'PIS-REPR'!B32+'ALM-REPR'!D32+'ALG-REPR'!B20</f>
        <v>20363.870000000003</v>
      </c>
      <c r="D104" s="14">
        <f>'PIS-REPR'!C32+'ALM-REPR'!E32+'ALG-REPR'!C20</f>
        <v>23262.270000000019</v>
      </c>
      <c r="E104" s="14">
        <f>'PIS-REPR'!D32+'ALM-REPR'!F32+'ALG-REPR'!D20</f>
        <v>20480.9931</v>
      </c>
      <c r="F104" s="14">
        <f>'PIS-REPR'!E32+'ALM-REPR'!G32+'ALG-REPR'!E20</f>
        <v>23266.992699999999</v>
      </c>
      <c r="G104" s="155">
        <f t="shared" si="17"/>
        <v>0.99428137593581845</v>
      </c>
      <c r="H104" s="155">
        <f t="shared" si="17"/>
        <v>0.99979702146895932</v>
      </c>
      <c r="I104" s="71">
        <f t="shared" si="18"/>
        <v>2898.400000000016</v>
      </c>
      <c r="J104" s="155">
        <f t="shared" si="19"/>
        <v>0.14233050986870444</v>
      </c>
      <c r="K104" s="224"/>
    </row>
    <row r="105" spans="2:11" x14ac:dyDescent="0.25">
      <c r="B105" s="13" t="s">
        <v>31</v>
      </c>
      <c r="C105" s="14">
        <f>'PIS-REPR'!B33+'ALM-REPR'!D33+'AVE-REPR'!B29</f>
        <v>27751.799999999996</v>
      </c>
      <c r="D105" s="14">
        <f>'PIS-REPR'!C33+'ALM-REPR'!E33+'AVE-REPR'!C29</f>
        <v>30446.629999999994</v>
      </c>
      <c r="E105" s="14">
        <f>'PIS-REPR'!D33+'ALM-REPR'!F33+'AVE-REPR'!D29</f>
        <v>27719</v>
      </c>
      <c r="F105" s="14">
        <f>'PIS-REPR'!E33+'ALM-REPR'!G33+'AVE-REPR'!E29</f>
        <v>30418</v>
      </c>
      <c r="G105" s="155">
        <f t="shared" si="17"/>
        <v>1.001183303870991</v>
      </c>
      <c r="H105" s="155">
        <f t="shared" si="17"/>
        <v>1.0009412190150566</v>
      </c>
      <c r="I105" s="71">
        <f t="shared" si="18"/>
        <v>2694.8299999999981</v>
      </c>
      <c r="J105" s="155">
        <f t="shared" si="19"/>
        <v>9.7104692308246587E-2</v>
      </c>
      <c r="K105" s="224"/>
    </row>
    <row r="106" spans="2:11" x14ac:dyDescent="0.25">
      <c r="B106" s="13" t="s">
        <v>32</v>
      </c>
      <c r="C106" s="14">
        <f>'PIS-REPR'!B34+'ALM-REPR'!D34+'AVE-REPR'!B30</f>
        <v>446.52</v>
      </c>
      <c r="D106" s="14">
        <f>'PIS-REPR'!C34+'ALM-REPR'!E34+'AVE-REPR'!C30</f>
        <v>574.75</v>
      </c>
      <c r="E106" s="14">
        <f>'PIS-REPR'!D34+'ALM-REPR'!F34+'AVE-REPR'!D30</f>
        <v>439</v>
      </c>
      <c r="F106" s="14">
        <f>'PIS-REPR'!E34+'ALM-REPR'!G34+'AVE-REPR'!E30</f>
        <v>570</v>
      </c>
      <c r="G106" s="155">
        <f t="shared" si="17"/>
        <v>1.0171298405466971</v>
      </c>
      <c r="H106" s="155">
        <f t="shared" si="17"/>
        <v>1.0083333333333333</v>
      </c>
      <c r="I106" s="71">
        <f t="shared" si="18"/>
        <v>128.23000000000002</v>
      </c>
      <c r="J106" s="155">
        <f t="shared" si="19"/>
        <v>0.28717638627609077</v>
      </c>
      <c r="K106" s="224"/>
    </row>
    <row r="107" spans="2:11" x14ac:dyDescent="0.25">
      <c r="B107" s="13" t="s">
        <v>33</v>
      </c>
      <c r="C107" s="14">
        <f>'PIS-REPR'!B35+'ALM-REPR'!D35+'AVE-REPR'!B31+'ALG-REPR'!B19</f>
        <v>24785.81</v>
      </c>
      <c r="D107" s="14">
        <f>'PIS-REPR'!C35+'ALM-REPR'!E35+'AVE-REPR'!C31+'ALG-REPR'!C19</f>
        <v>27621.829999999984</v>
      </c>
      <c r="E107" s="14">
        <f>'PIS-REPR'!D35+'ALM-REPR'!F35+'AVE-REPR'!D31+'ALG-REPR'!D19</f>
        <v>24889</v>
      </c>
      <c r="F107" s="14">
        <f>'PIS-REPR'!E35+'ALM-REPR'!G35+'AVE-REPR'!E31+'ALG-REPR'!E19</f>
        <v>27695</v>
      </c>
      <c r="G107" s="155">
        <f t="shared" si="17"/>
        <v>0.99585399172325129</v>
      </c>
      <c r="H107" s="155">
        <f t="shared" si="17"/>
        <v>0.99735800686044351</v>
      </c>
      <c r="I107" s="71">
        <f t="shared" si="18"/>
        <v>2836.0199999999822</v>
      </c>
      <c r="J107" s="155">
        <f t="shared" si="19"/>
        <v>0.11442111433921198</v>
      </c>
      <c r="K107" s="224"/>
    </row>
    <row r="108" spans="2:11" x14ac:dyDescent="0.25">
      <c r="B108" s="16" t="s">
        <v>65</v>
      </c>
      <c r="C108" s="17">
        <f>'AVE-REPR'!B32</f>
        <v>0.33</v>
      </c>
      <c r="D108" s="17">
        <f>'AVE-REPR'!C32</f>
        <v>0.52</v>
      </c>
      <c r="E108" s="17">
        <f>'AVE-REPR'!D32</f>
        <v>1</v>
      </c>
      <c r="F108" s="17">
        <f>'AVE-REPR'!E32</f>
        <v>0</v>
      </c>
      <c r="G108" s="25">
        <f t="shared" si="17"/>
        <v>0.33</v>
      </c>
      <c r="H108" s="25" t="str">
        <f t="shared" si="17"/>
        <v/>
      </c>
      <c r="I108" s="17">
        <f t="shared" si="18"/>
        <v>0.19</v>
      </c>
      <c r="J108" s="25">
        <f t="shared" si="19"/>
        <v>0.57575757575757569</v>
      </c>
      <c r="K108" s="228"/>
    </row>
    <row r="109" spans="2:11" x14ac:dyDescent="0.25">
      <c r="B109" s="13" t="s">
        <v>66</v>
      </c>
      <c r="C109" s="71">
        <f>'AVE-REPR'!B33</f>
        <v>0.33</v>
      </c>
      <c r="D109" s="71">
        <f>'AVE-REPR'!C33</f>
        <v>0.52</v>
      </c>
      <c r="E109" s="71">
        <f>'AVE-REPR'!D33</f>
        <v>1</v>
      </c>
      <c r="F109" s="71">
        <f>'AVE-REPR'!E33</f>
        <v>0</v>
      </c>
      <c r="G109" s="155">
        <f t="shared" si="17"/>
        <v>0.33</v>
      </c>
      <c r="H109" s="155" t="str">
        <f t="shared" si="17"/>
        <v/>
      </c>
      <c r="I109" s="71">
        <f t="shared" si="18"/>
        <v>0.19</v>
      </c>
      <c r="J109" s="155">
        <f t="shared" si="19"/>
        <v>0.57575757575757569</v>
      </c>
      <c r="K109" s="224"/>
    </row>
    <row r="110" spans="2:11" x14ac:dyDescent="0.25">
      <c r="B110" s="16" t="s">
        <v>53</v>
      </c>
      <c r="C110" s="17">
        <f>'PIS-REPR'!B36+'ALM-REPR'!D36+'AVE-REPR'!B22</f>
        <v>3482.5700000000006</v>
      </c>
      <c r="D110" s="17">
        <f>'PIS-REPR'!C36+'ALM-REPR'!E36+'AVE-REPR'!C22</f>
        <v>4149.79</v>
      </c>
      <c r="E110" s="17">
        <f>'PIS-REPR'!D36+'ALM-REPR'!F36+'AVE-REPR'!D22</f>
        <v>2140</v>
      </c>
      <c r="F110" s="17">
        <f>'PIS-REPR'!E36+'ALM-REPR'!G36+'AVE-REPR'!E22</f>
        <v>2212</v>
      </c>
      <c r="G110" s="25">
        <f t="shared" si="17"/>
        <v>1.6273691588785049</v>
      </c>
      <c r="H110" s="25">
        <f t="shared" si="17"/>
        <v>1.8760352622061482</v>
      </c>
      <c r="I110" s="17">
        <f>IFERROR(D110-C110,"")</f>
        <v>667.21999999999935</v>
      </c>
      <c r="J110" s="25">
        <f t="shared" si="19"/>
        <v>0.19158839592599697</v>
      </c>
      <c r="K110" s="228"/>
    </row>
    <row r="111" spans="2:11" x14ac:dyDescent="0.25">
      <c r="B111" s="13" t="s">
        <v>34</v>
      </c>
      <c r="C111" s="14">
        <f>'PIS-REPR'!B37+'ALM-REPR'!D37</f>
        <v>136.46</v>
      </c>
      <c r="D111" s="14">
        <f>'PIS-REPR'!C37+'ALM-REPR'!E37</f>
        <v>150.09</v>
      </c>
      <c r="E111" s="14">
        <f>'PIS-REPR'!D37+'ALM-REPR'!F37</f>
        <v>114</v>
      </c>
      <c r="F111" s="14">
        <f>'PIS-REPR'!E37+'ALM-REPR'!G37</f>
        <v>138</v>
      </c>
      <c r="G111" s="155">
        <f t="shared" si="17"/>
        <v>1.1970175438596491</v>
      </c>
      <c r="H111" s="155">
        <f t="shared" si="17"/>
        <v>1.087608695652174</v>
      </c>
      <c r="I111" s="71">
        <f t="shared" si="18"/>
        <v>13.629999999999995</v>
      </c>
      <c r="J111" s="155">
        <f t="shared" si="19"/>
        <v>9.9882749523669823E-2</v>
      </c>
      <c r="K111" s="224"/>
    </row>
    <row r="112" spans="2:11" x14ac:dyDescent="0.25">
      <c r="B112" s="13" t="s">
        <v>35</v>
      </c>
      <c r="C112" s="14">
        <f>'PIS-REPR'!B38+'ALM-REPR'!D38+'AVE-REPR'!B23</f>
        <v>199.26999999999998</v>
      </c>
      <c r="D112" s="14">
        <f>'PIS-REPR'!C38+'ALM-REPR'!E38+'AVE-REPR'!C23</f>
        <v>217.04999999999995</v>
      </c>
      <c r="E112" s="14">
        <f>'PIS-REPR'!D38+'ALM-REPR'!F38+'AVE-REPR'!D23</f>
        <v>252</v>
      </c>
      <c r="F112" s="14">
        <f>'PIS-REPR'!E38+'ALM-REPR'!G38+'AVE-REPR'!E23</f>
        <v>264</v>
      </c>
      <c r="G112" s="155">
        <f t="shared" si="17"/>
        <v>0.79075396825396815</v>
      </c>
      <c r="H112" s="155">
        <f t="shared" si="17"/>
        <v>0.82215909090909078</v>
      </c>
      <c r="I112" s="71">
        <f t="shared" si="18"/>
        <v>17.779999999999973</v>
      </c>
      <c r="J112" s="155">
        <f t="shared" si="19"/>
        <v>8.9225673709037778E-2</v>
      </c>
      <c r="K112" s="224"/>
    </row>
    <row r="113" spans="2:16" x14ac:dyDescent="0.25">
      <c r="B113" s="13" t="s">
        <v>36</v>
      </c>
      <c r="C113" s="14">
        <f>'PIS-REPR'!B39+'ALM-REPR'!D39+'AVE-REPR'!B24</f>
        <v>59.6</v>
      </c>
      <c r="D113" s="14">
        <f>'PIS-REPR'!C39+'ALM-REPR'!E39</f>
        <v>79.87</v>
      </c>
      <c r="E113" s="14">
        <f>'PIS-REPR'!D39+'ALM-REPR'!F39</f>
        <v>97</v>
      </c>
      <c r="F113" s="14">
        <f>'PIS-REPR'!E39+'ALM-REPR'!G39</f>
        <v>84</v>
      </c>
      <c r="G113" s="155">
        <f t="shared" si="17"/>
        <v>0.61443298969072169</v>
      </c>
      <c r="H113" s="155">
        <f t="shared" si="17"/>
        <v>0.95083333333333342</v>
      </c>
      <c r="I113" s="71">
        <f t="shared" si="18"/>
        <v>20.270000000000003</v>
      </c>
      <c r="J113" s="155">
        <f t="shared" si="19"/>
        <v>0.34010067114093956</v>
      </c>
      <c r="K113" s="224"/>
    </row>
    <row r="114" spans="2:16" x14ac:dyDescent="0.25">
      <c r="B114" s="13" t="s">
        <v>37</v>
      </c>
      <c r="C114" s="14">
        <f>'PIS-REPR'!B40+'ALM-REPR'!D40</f>
        <v>86.119999999999976</v>
      </c>
      <c r="D114" s="14">
        <f>'PIS-REPR'!C40+'ALM-REPR'!E40</f>
        <v>104.32000000000001</v>
      </c>
      <c r="E114" s="14">
        <f>'PIS-REPR'!D40+'ALM-REPR'!F40</f>
        <v>86</v>
      </c>
      <c r="F114" s="14">
        <f>'PIS-REPR'!E40+'ALM-REPR'!G40</f>
        <v>102</v>
      </c>
      <c r="G114" s="155">
        <f t="shared" si="17"/>
        <v>1.0013953488372089</v>
      </c>
      <c r="H114" s="155">
        <f t="shared" si="17"/>
        <v>1.0227450980392156</v>
      </c>
      <c r="I114" s="71">
        <f t="shared" si="18"/>
        <v>18.200000000000031</v>
      </c>
      <c r="J114" s="155">
        <f t="shared" si="19"/>
        <v>0.21133302368787787</v>
      </c>
      <c r="K114" s="224"/>
    </row>
    <row r="115" spans="2:16" x14ac:dyDescent="0.25">
      <c r="B115" s="13" t="s">
        <v>38</v>
      </c>
      <c r="C115" s="14">
        <f>'PIS-REPR'!B41+'ALM-REPR'!D41</f>
        <v>736.54999999999984</v>
      </c>
      <c r="D115" s="14">
        <f>'PIS-REPR'!C41+'ALM-REPR'!E41</f>
        <v>708.44999999999982</v>
      </c>
      <c r="E115" s="14">
        <f>'PIS-REPR'!D41+'ALM-REPR'!F41</f>
        <v>780</v>
      </c>
      <c r="F115" s="14">
        <f>'PIS-REPR'!E41+'ALM-REPR'!G41</f>
        <v>821</v>
      </c>
      <c r="G115" s="155">
        <f t="shared" si="17"/>
        <v>0.94429487179487159</v>
      </c>
      <c r="H115" s="155">
        <f t="shared" si="17"/>
        <v>0.86291108404384875</v>
      </c>
      <c r="I115" s="71">
        <f t="shared" si="18"/>
        <v>-28.100000000000023</v>
      </c>
      <c r="J115" s="155">
        <f t="shared" si="19"/>
        <v>-3.815083836806743E-2</v>
      </c>
      <c r="K115" s="224"/>
    </row>
    <row r="116" spans="2:16" x14ac:dyDescent="0.25">
      <c r="B116" s="13" t="s">
        <v>39</v>
      </c>
      <c r="C116" s="14">
        <f>'PIS-REPR'!B42+'ALM-REPR'!D42</f>
        <v>133.04000000000002</v>
      </c>
      <c r="D116" s="14">
        <f>'PIS-REPR'!C42+'ALM-REPR'!E42</f>
        <v>171.94</v>
      </c>
      <c r="E116" s="14">
        <f>'PIS-REPR'!D42+'ALM-REPR'!F42</f>
        <v>30</v>
      </c>
      <c r="F116" s="14">
        <f>'PIS-REPR'!E42+'ALM-REPR'!G42</f>
        <v>24</v>
      </c>
      <c r="G116" s="155">
        <f t="shared" si="17"/>
        <v>4.4346666666666676</v>
      </c>
      <c r="H116" s="155">
        <f t="shared" si="17"/>
        <v>7.1641666666666666</v>
      </c>
      <c r="I116" s="71">
        <f t="shared" si="18"/>
        <v>38.899999999999977</v>
      </c>
      <c r="J116" s="155">
        <f t="shared" si="19"/>
        <v>0.29239326518340336</v>
      </c>
      <c r="K116" s="224"/>
    </row>
    <row r="117" spans="2:16" x14ac:dyDescent="0.25">
      <c r="B117" s="13" t="s">
        <v>40</v>
      </c>
      <c r="C117" s="14">
        <f>'PIS-REPR'!B43+'ALM-REPR'!D43+'AVE-REPR'!B25</f>
        <v>433.72000000000008</v>
      </c>
      <c r="D117" s="14">
        <f>'PIS-REPR'!C43+'ALM-REPR'!E43+'AVE-REPR'!C25</f>
        <v>437.69000000000005</v>
      </c>
      <c r="E117" s="14">
        <f>'PIS-REPR'!D43+'ALM-REPR'!F43+'AVE-REPR'!D25</f>
        <v>427</v>
      </c>
      <c r="F117" s="14">
        <f>'PIS-REPR'!E43+'ALM-REPR'!G43+'AVE-REPR'!E25</f>
        <v>427</v>
      </c>
      <c r="G117" s="155">
        <f t="shared" si="17"/>
        <v>1.0157377049180329</v>
      </c>
      <c r="H117" s="155">
        <f t="shared" si="17"/>
        <v>1.0250351288056208</v>
      </c>
      <c r="I117" s="71">
        <f t="shared" si="18"/>
        <v>3.9699999999999704</v>
      </c>
      <c r="J117" s="155">
        <f t="shared" si="19"/>
        <v>9.1533708383289003E-3</v>
      </c>
      <c r="K117" s="224"/>
    </row>
    <row r="118" spans="2:16" x14ac:dyDescent="0.25">
      <c r="B118" s="13" t="s">
        <v>41</v>
      </c>
      <c r="C118" s="14">
        <f>'PIS-REPR'!B44+'ALM-REPR'!D44+'AVE-REPR'!B26</f>
        <v>824.96000000000015</v>
      </c>
      <c r="D118" s="14">
        <f>'PIS-REPR'!C44+'ALM-REPR'!E44+'AVE-REPR'!C26</f>
        <v>1196.4699999999998</v>
      </c>
      <c r="E118" s="14">
        <f>'PIS-REPR'!D44+'ALM-REPR'!F44+'AVE-REPR'!D26</f>
        <v>147</v>
      </c>
      <c r="F118" s="14">
        <f>'PIS-REPR'!E44+'ALM-REPR'!G44+'AVE-REPR'!E26</f>
        <v>144</v>
      </c>
      <c r="G118" s="155">
        <f t="shared" si="17"/>
        <v>5.6119727891156472</v>
      </c>
      <c r="H118" s="155">
        <f t="shared" si="17"/>
        <v>8.3088194444444436</v>
      </c>
      <c r="I118" s="71">
        <f t="shared" si="18"/>
        <v>371.50999999999965</v>
      </c>
      <c r="J118" s="155">
        <f t="shared" si="19"/>
        <v>0.45033698603568606</v>
      </c>
      <c r="K118" s="224"/>
    </row>
    <row r="119" spans="2:16" x14ac:dyDescent="0.25">
      <c r="B119" s="13" t="s">
        <v>42</v>
      </c>
      <c r="C119" s="14">
        <f>'PIS-REPR'!B45+'ALM-REPR'!D45</f>
        <v>872.85000000000014</v>
      </c>
      <c r="D119" s="14">
        <f>'PIS-REPR'!C45+'ALM-REPR'!E45</f>
        <v>1082.8600000000001</v>
      </c>
      <c r="E119" s="14">
        <f>'PIS-REPR'!D45+'ALM-REPR'!F45</f>
        <v>207</v>
      </c>
      <c r="F119" s="14">
        <f>'PIS-REPR'!E45+'ALM-REPR'!G45</f>
        <v>207</v>
      </c>
      <c r="G119" s="155">
        <f t="shared" si="17"/>
        <v>4.2166666666666677</v>
      </c>
      <c r="H119" s="155">
        <f t="shared" si="17"/>
        <v>5.2312077294685997</v>
      </c>
      <c r="I119" s="71">
        <f t="shared" si="18"/>
        <v>210.01</v>
      </c>
      <c r="J119" s="155">
        <f t="shared" si="19"/>
        <v>0.240602623589391</v>
      </c>
      <c r="K119" s="224"/>
      <c r="M119" s="221" t="s">
        <v>233</v>
      </c>
      <c r="N119" t="s">
        <v>267</v>
      </c>
      <c r="O119" t="s">
        <v>268</v>
      </c>
      <c r="P119" t="s">
        <v>269</v>
      </c>
    </row>
    <row r="120" spans="2:16" x14ac:dyDescent="0.25">
      <c r="B120" s="16" t="s">
        <v>54</v>
      </c>
      <c r="C120" s="17">
        <f>'PIS-REPR'!B46+'ALM-REPR'!D46+'AVE-REPR'!B39+'ALG-REPR'!B29</f>
        <v>5511.81</v>
      </c>
      <c r="D120" s="17">
        <f>'PIS-REPR'!C46+'ALM-REPR'!E46+'AVE-REPR'!C39+'ALG-REPR'!C29</f>
        <v>5486.79</v>
      </c>
      <c r="E120" s="17">
        <f>'PIS-REPR'!D46+'ALM-REPR'!F46+'AVE-REPR'!D39+'ALG-REPR'!D29</f>
        <v>5220</v>
      </c>
      <c r="F120" s="17">
        <f>'PIS-REPR'!E46+'ALM-REPR'!G46+'AVE-REPR'!E39+'ALG-REPR'!E29</f>
        <v>5562</v>
      </c>
      <c r="G120" s="25">
        <f t="shared" si="17"/>
        <v>1.0559022988505748</v>
      </c>
      <c r="H120" s="25">
        <f t="shared" si="17"/>
        <v>0.98647788565264294</v>
      </c>
      <c r="I120" s="17">
        <f t="shared" si="18"/>
        <v>-25.020000000000437</v>
      </c>
      <c r="J120" s="25">
        <f t="shared" si="19"/>
        <v>-4.5393437001639558E-3</v>
      </c>
      <c r="K120" s="228"/>
      <c r="M120" t="s">
        <v>49</v>
      </c>
      <c r="N120" s="162">
        <v>151568.20999999985</v>
      </c>
      <c r="O120" s="162">
        <v>211670.4498</v>
      </c>
      <c r="P120" s="124">
        <v>0.71605748531838687</v>
      </c>
    </row>
    <row r="121" spans="2:16" x14ac:dyDescent="0.25">
      <c r="B121" s="13" t="s">
        <v>43</v>
      </c>
      <c r="C121" s="71">
        <f>'PIS-REPR'!B47+'ALM-REPR'!D47+'AVE-REPR'!B40+'ALG-REPR'!B30</f>
        <v>4988.79</v>
      </c>
      <c r="D121" s="71">
        <f>'PIS-REPR'!C47+'ALM-REPR'!E47+'AVE-REPR'!C40+'ALG-REPR'!C30</f>
        <v>4982.6799999999994</v>
      </c>
      <c r="E121" s="71">
        <f>'PIS-REPR'!D47+'ALM-REPR'!F47+'AVE-REPR'!D40+'ALG-REPR'!D30</f>
        <v>4665</v>
      </c>
      <c r="F121" s="71">
        <f>'PIS-REPR'!E47+'ALM-REPR'!G47+'AVE-REPR'!E40+'ALG-REPR'!E30</f>
        <v>5025</v>
      </c>
      <c r="G121" s="155">
        <f t="shared" si="17"/>
        <v>1.0694083601286173</v>
      </c>
      <c r="H121" s="155">
        <f t="shared" si="17"/>
        <v>0.99157810945273617</v>
      </c>
      <c r="I121" s="71">
        <f t="shared" si="18"/>
        <v>-6.1100000000005821</v>
      </c>
      <c r="J121" s="155">
        <f t="shared" si="19"/>
        <v>-1.2247458802636668E-3</v>
      </c>
      <c r="K121" s="224"/>
      <c r="M121" t="s">
        <v>52</v>
      </c>
      <c r="N121" s="162">
        <v>153818.19999999995</v>
      </c>
      <c r="O121" s="162">
        <v>147697.9927</v>
      </c>
      <c r="P121" s="124">
        <v>1.0414373085789401</v>
      </c>
    </row>
    <row r="122" spans="2:16" x14ac:dyDescent="0.25">
      <c r="B122" s="13" t="s">
        <v>44</v>
      </c>
      <c r="C122" s="71">
        <f>'PIS-REPR'!B48+'ALM-REPR'!D48+'AVE-REPR'!B41</f>
        <v>523.02</v>
      </c>
      <c r="D122" s="71">
        <f>'PIS-REPR'!C48+'ALM-REPR'!E48+'AVE-REPR'!C41</f>
        <v>504.11</v>
      </c>
      <c r="E122" s="71">
        <f>'PIS-REPR'!D48+'ALM-REPR'!F48+'AVE-REPR'!D41</f>
        <v>555</v>
      </c>
      <c r="F122" s="71">
        <f>'PIS-REPR'!E48+'ALM-REPR'!G48+'AVE-REPR'!E41</f>
        <v>537</v>
      </c>
      <c r="G122" s="155">
        <f t="shared" si="17"/>
        <v>0.94237837837837835</v>
      </c>
      <c r="H122" s="155">
        <f t="shared" si="17"/>
        <v>0.93875232774674122</v>
      </c>
      <c r="I122" s="71">
        <f t="shared" si="18"/>
        <v>-18.909999999999968</v>
      </c>
      <c r="J122" s="155">
        <f t="shared" si="19"/>
        <v>-3.6155405147030639E-2</v>
      </c>
      <c r="K122" s="224"/>
      <c r="M122" t="s">
        <v>60</v>
      </c>
      <c r="N122" s="162">
        <v>61599.329999999973</v>
      </c>
      <c r="O122" s="162">
        <v>97007.753100000002</v>
      </c>
      <c r="P122" s="124">
        <v>0.63499388483413877</v>
      </c>
    </row>
    <row r="123" spans="2:16" x14ac:dyDescent="0.25">
      <c r="B123" s="16" t="s">
        <v>67</v>
      </c>
      <c r="C123" s="17">
        <f>'PIS-REPR'!B49+'AVE-REPR'!B42</f>
        <v>2.0099999999999998</v>
      </c>
      <c r="D123" s="17">
        <f>'PIS-REPR'!C49+'AVE-REPR'!C42</f>
        <v>4.51</v>
      </c>
      <c r="E123" s="17">
        <f>'PIS-REPR'!D49+'AVE-REPR'!D42</f>
        <v>0</v>
      </c>
      <c r="F123" s="17">
        <f>'PIS-REPR'!E49+'AVE-REPR'!E42</f>
        <v>0</v>
      </c>
      <c r="G123" s="25" t="str">
        <f t="shared" si="17"/>
        <v/>
      </c>
      <c r="H123" s="25" t="str">
        <f t="shared" si="17"/>
        <v/>
      </c>
      <c r="I123" s="17">
        <f t="shared" si="18"/>
        <v>2.5</v>
      </c>
      <c r="J123" s="25">
        <f t="shared" si="19"/>
        <v>1.2437810945273635</v>
      </c>
      <c r="K123" s="228"/>
      <c r="M123" t="s">
        <v>56</v>
      </c>
      <c r="N123" s="162">
        <v>73872.409999999974</v>
      </c>
      <c r="O123" s="162">
        <v>76497.906799999997</v>
      </c>
      <c r="P123" s="124">
        <v>0.96567884129347159</v>
      </c>
    </row>
    <row r="124" spans="2:16" x14ac:dyDescent="0.25">
      <c r="B124" s="13" t="s">
        <v>68</v>
      </c>
      <c r="C124" s="71">
        <f>'AVE-REPR'!B43</f>
        <v>0.18</v>
      </c>
      <c r="D124" s="71">
        <f>'AVE-REPR'!C43</f>
        <v>0.18</v>
      </c>
      <c r="E124" s="71">
        <f>'AVE-REPR'!D43</f>
        <v>0</v>
      </c>
      <c r="F124" s="71">
        <f>'AVE-REPR'!E43</f>
        <v>0</v>
      </c>
      <c r="G124" s="155" t="str">
        <f t="shared" si="17"/>
        <v/>
      </c>
      <c r="H124" s="155" t="str">
        <f t="shared" si="17"/>
        <v/>
      </c>
      <c r="I124" s="71">
        <f t="shared" si="18"/>
        <v>0</v>
      </c>
      <c r="J124" s="155">
        <f t="shared" si="19"/>
        <v>0</v>
      </c>
      <c r="K124" s="224"/>
      <c r="M124" t="s">
        <v>50</v>
      </c>
      <c r="N124" s="162">
        <v>60350.069999999956</v>
      </c>
      <c r="O124" s="162">
        <v>65089</v>
      </c>
      <c r="P124" s="124">
        <v>0.92719307409854135</v>
      </c>
    </row>
    <row r="125" spans="2:16" x14ac:dyDescent="0.25">
      <c r="B125" s="13" t="s">
        <v>98</v>
      </c>
      <c r="C125" s="71">
        <f>'PIS-REPR'!B50+'AVE-REPR'!B44</f>
        <v>0.73</v>
      </c>
      <c r="D125" s="71">
        <f>'PIS-REPR'!C50+'AVE-REPR'!C44</f>
        <v>0.73</v>
      </c>
      <c r="E125" s="71">
        <f>'PIS-REPR'!D50+'AVE-REPR'!D44</f>
        <v>0</v>
      </c>
      <c r="F125" s="71">
        <f>'PIS-REPR'!E50+'AVE-REPR'!E44</f>
        <v>0</v>
      </c>
      <c r="G125" s="155" t="str">
        <f t="shared" si="17"/>
        <v/>
      </c>
      <c r="H125" s="155" t="str">
        <f t="shared" si="17"/>
        <v/>
      </c>
      <c r="I125" s="71">
        <f t="shared" si="18"/>
        <v>0</v>
      </c>
      <c r="J125" s="155">
        <f t="shared" si="19"/>
        <v>0</v>
      </c>
      <c r="K125" s="224"/>
      <c r="M125" t="s">
        <v>51</v>
      </c>
      <c r="N125" s="162">
        <v>31142.319999999985</v>
      </c>
      <c r="O125" s="162">
        <v>40252.7255</v>
      </c>
      <c r="P125" s="124">
        <v>0.77366984752374057</v>
      </c>
    </row>
    <row r="126" spans="2:16" x14ac:dyDescent="0.25">
      <c r="B126" s="13" t="s">
        <v>70</v>
      </c>
      <c r="C126" s="71">
        <f>'PIS-REPR'!B51+'AVE-REPR'!B45</f>
        <v>0.31</v>
      </c>
      <c r="D126" s="71">
        <f>'PIS-REPR'!C51+'AVE-REPR'!C45</f>
        <v>2.81</v>
      </c>
      <c r="E126" s="71">
        <f>'PIS-REPR'!D51+'AVE-REPR'!D45</f>
        <v>0</v>
      </c>
      <c r="F126" s="71">
        <f>'PIS-REPR'!E51+'AVE-REPR'!E45</f>
        <v>0</v>
      </c>
      <c r="G126" s="155" t="str">
        <f t="shared" si="17"/>
        <v/>
      </c>
      <c r="H126" s="155" t="str">
        <f t="shared" si="17"/>
        <v/>
      </c>
      <c r="I126" s="71">
        <f t="shared" si="18"/>
        <v>2.5</v>
      </c>
      <c r="J126" s="155">
        <f t="shared" si="19"/>
        <v>8.064516129032258</v>
      </c>
      <c r="K126" s="224"/>
      <c r="M126" t="s">
        <v>75</v>
      </c>
      <c r="N126" s="162">
        <v>12335.300000000001</v>
      </c>
      <c r="O126" s="162">
        <v>38217.336900000002</v>
      </c>
      <c r="P126" s="124">
        <v>0.32276712614164388</v>
      </c>
    </row>
    <row r="127" spans="2:16" x14ac:dyDescent="0.25">
      <c r="B127" s="13" t="s">
        <v>71</v>
      </c>
      <c r="C127" s="71">
        <f>'AVE-REPR'!B46</f>
        <v>0.79</v>
      </c>
      <c r="D127" s="71">
        <f>'AVE-REPR'!C46</f>
        <v>0.79</v>
      </c>
      <c r="E127" s="71">
        <f>'AVE-REPR'!D46</f>
        <v>0</v>
      </c>
      <c r="F127" s="71">
        <f>'AVE-REPR'!E46</f>
        <v>0</v>
      </c>
      <c r="G127" s="155" t="str">
        <f t="shared" si="17"/>
        <v/>
      </c>
      <c r="H127" s="155" t="str">
        <f t="shared" si="17"/>
        <v/>
      </c>
      <c r="I127" s="71">
        <f t="shared" si="18"/>
        <v>0</v>
      </c>
      <c r="J127" s="155">
        <f t="shared" si="19"/>
        <v>0</v>
      </c>
      <c r="K127" s="224"/>
      <c r="M127" t="s">
        <v>67</v>
      </c>
      <c r="N127" s="162">
        <v>2433.31</v>
      </c>
      <c r="O127" s="162">
        <v>25563</v>
      </c>
      <c r="P127" s="124">
        <v>9.5188749364315609E-2</v>
      </c>
    </row>
    <row r="128" spans="2:16" x14ac:dyDescent="0.25">
      <c r="B128" s="16" t="s">
        <v>75</v>
      </c>
      <c r="C128" s="17">
        <f>'PIS-REPR'!B52+'ALM-REPR'!D49+'ALG-REPR'!B31</f>
        <v>13567.699999999997</v>
      </c>
      <c r="D128" s="17">
        <f>'PIS-REPR'!C52+'ALM-REPR'!E49+'ALG-REPR'!C31</f>
        <v>12332.36</v>
      </c>
      <c r="E128" s="17">
        <f>'PIS-REPR'!D52+'ALM-REPR'!F49+'ALG-REPR'!D31</f>
        <v>37974.018100000001</v>
      </c>
      <c r="F128" s="17">
        <f>'PIS-REPR'!E52+'ALM-REPR'!G49+'ALG-REPR'!E31</f>
        <v>38206.336900000002</v>
      </c>
      <c r="G128" s="25">
        <f t="shared" si="17"/>
        <v>0.35728902757330272</v>
      </c>
      <c r="H128" s="25">
        <f t="shared" si="17"/>
        <v>0.3227831035536935</v>
      </c>
      <c r="I128" s="17">
        <f t="shared" si="18"/>
        <v>-1235.3399999999965</v>
      </c>
      <c r="J128" s="25">
        <f t="shared" si="19"/>
        <v>-9.1050067439580551E-2</v>
      </c>
      <c r="K128" s="228"/>
      <c r="M128" t="s">
        <v>54</v>
      </c>
      <c r="N128" s="162">
        <v>11015.230000000003</v>
      </c>
      <c r="O128" s="162">
        <v>10846</v>
      </c>
      <c r="P128" s="124">
        <v>1.0156029872764156</v>
      </c>
    </row>
    <row r="129" spans="2:16" x14ac:dyDescent="0.25">
      <c r="B129" s="13" t="s">
        <v>78</v>
      </c>
      <c r="C129" s="71">
        <f>'PIS-REPR'!B53+'ALM-REPR'!D50+'ALG-REPR'!B32</f>
        <v>13567.699999999997</v>
      </c>
      <c r="D129" s="71">
        <f>'PIS-REPR'!C53+'ALM-REPR'!E50+'ALG-REPR'!C32</f>
        <v>12332.36</v>
      </c>
      <c r="E129" s="71">
        <f>'PIS-REPR'!D53+'ALM-REPR'!F50+'ALG-REPR'!D32</f>
        <v>37974.018100000001</v>
      </c>
      <c r="F129" s="71">
        <f>'PIS-REPR'!E53+'ALM-REPR'!G50+'ALG-REPR'!E32</f>
        <v>38206.336900000002</v>
      </c>
      <c r="G129" s="155">
        <f t="shared" si="17"/>
        <v>0.35728902757330272</v>
      </c>
      <c r="H129" s="155">
        <f t="shared" si="17"/>
        <v>0.3227831035536935</v>
      </c>
      <c r="I129" s="71">
        <f t="shared" si="18"/>
        <v>-1235.3399999999965</v>
      </c>
      <c r="J129" s="155">
        <f t="shared" si="19"/>
        <v>-9.1050067439580551E-2</v>
      </c>
      <c r="K129" s="224"/>
      <c r="M129" t="s">
        <v>55</v>
      </c>
      <c r="N129" s="162">
        <v>5549.6100000000006</v>
      </c>
      <c r="O129" s="162">
        <v>9408</v>
      </c>
      <c r="P129" s="124">
        <v>0.5898820153061225</v>
      </c>
    </row>
    <row r="130" spans="2:16" x14ac:dyDescent="0.25">
      <c r="B130" s="16" t="s">
        <v>79</v>
      </c>
      <c r="C130" s="17">
        <f>'ALM-REPR'!D51</f>
        <v>0</v>
      </c>
      <c r="D130" s="17">
        <f>'ALM-REPR'!E51</f>
        <v>0</v>
      </c>
      <c r="E130" s="17">
        <f>'ALM-REPR'!F51</f>
        <v>189</v>
      </c>
      <c r="F130" s="17">
        <f>'ALM-REPR'!G51</f>
        <v>183</v>
      </c>
      <c r="G130" s="25">
        <f t="shared" si="17"/>
        <v>0</v>
      </c>
      <c r="H130" s="25">
        <f t="shared" si="17"/>
        <v>0</v>
      </c>
      <c r="I130" s="17">
        <f t="shared" si="18"/>
        <v>0</v>
      </c>
      <c r="J130" s="25" t="str">
        <f t="shared" si="19"/>
        <v/>
      </c>
      <c r="K130" s="228"/>
      <c r="M130" t="s">
        <v>53</v>
      </c>
      <c r="N130" s="162">
        <v>4929.7699999999995</v>
      </c>
      <c r="O130" s="162">
        <v>3755</v>
      </c>
      <c r="P130" s="124">
        <v>1.3128548601864181</v>
      </c>
    </row>
    <row r="131" spans="2:16" x14ac:dyDescent="0.25">
      <c r="B131" s="15" t="s">
        <v>82</v>
      </c>
      <c r="C131" s="14">
        <f>'ALM-REPR'!D52</f>
        <v>0</v>
      </c>
      <c r="D131" s="14">
        <f>'ALM-REPR'!E52</f>
        <v>0</v>
      </c>
      <c r="E131" s="14">
        <f>'ALM-REPR'!F52</f>
        <v>46</v>
      </c>
      <c r="F131" s="14">
        <f>'ALM-REPR'!G52</f>
        <v>45</v>
      </c>
      <c r="G131" s="155">
        <f t="shared" si="17"/>
        <v>0</v>
      </c>
      <c r="H131" s="155">
        <f t="shared" si="17"/>
        <v>0</v>
      </c>
      <c r="I131" s="71">
        <f t="shared" si="18"/>
        <v>0</v>
      </c>
      <c r="J131" s="155" t="str">
        <f t="shared" si="19"/>
        <v/>
      </c>
      <c r="K131" s="224"/>
      <c r="M131" t="s">
        <v>57</v>
      </c>
      <c r="N131" s="162">
        <v>1535.2299999999991</v>
      </c>
      <c r="O131" s="162">
        <v>2485</v>
      </c>
      <c r="P131" s="124">
        <v>0.61779879275653893</v>
      </c>
    </row>
    <row r="132" spans="2:16" x14ac:dyDescent="0.25">
      <c r="B132" s="15" t="s">
        <v>83</v>
      </c>
      <c r="C132" s="14">
        <f>'ALM-REPR'!D53</f>
        <v>0</v>
      </c>
      <c r="D132" s="14">
        <f>'ALM-REPR'!E53</f>
        <v>0</v>
      </c>
      <c r="E132" s="14">
        <f>'ALM-REPR'!F53</f>
        <v>143</v>
      </c>
      <c r="F132" s="14">
        <f>'ALM-REPR'!G53</f>
        <v>138</v>
      </c>
      <c r="G132" s="155">
        <f t="shared" si="17"/>
        <v>0</v>
      </c>
      <c r="H132" s="155">
        <f t="shared" si="17"/>
        <v>0</v>
      </c>
      <c r="I132" s="71">
        <f t="shared" si="18"/>
        <v>0</v>
      </c>
      <c r="J132" s="155" t="str">
        <f t="shared" si="19"/>
        <v/>
      </c>
      <c r="K132" s="224"/>
      <c r="M132" t="s">
        <v>80</v>
      </c>
      <c r="N132" s="162">
        <v>570.11</v>
      </c>
      <c r="O132" s="162">
        <v>1230</v>
      </c>
      <c r="P132" s="124">
        <v>0.46350406504065039</v>
      </c>
    </row>
    <row r="133" spans="2:16" x14ac:dyDescent="0.25">
      <c r="B133" s="16" t="s">
        <v>55</v>
      </c>
      <c r="C133" s="17">
        <f>'PIS-REPR'!B54+'ALM-REPR'!D54+'AVE-REPR'!B47</f>
        <v>5123.7599999999993</v>
      </c>
      <c r="D133" s="17">
        <f>'PIS-REPR'!C54+'ALM-REPR'!E54+'AVE-REPR'!C47</f>
        <v>5379.9000000000005</v>
      </c>
      <c r="E133" s="17">
        <f>'PIS-REPR'!D54+'ALM-REPR'!F54+'AVE-REPR'!D47</f>
        <v>9062</v>
      </c>
      <c r="F133" s="17">
        <f>'PIS-REPR'!E54+'ALM-REPR'!G54+'AVE-REPR'!E47</f>
        <v>8959</v>
      </c>
      <c r="G133" s="25">
        <f t="shared" si="17"/>
        <v>0.56541160891635389</v>
      </c>
      <c r="H133" s="25">
        <f t="shared" si="17"/>
        <v>0.60050228820180829</v>
      </c>
      <c r="I133" s="17">
        <f t="shared" si="18"/>
        <v>256.14000000000124</v>
      </c>
      <c r="J133" s="25">
        <f t="shared" si="19"/>
        <v>4.9990631879713643E-2</v>
      </c>
      <c r="K133" s="228"/>
      <c r="M133" t="s">
        <v>58</v>
      </c>
      <c r="N133" s="162">
        <v>112.63</v>
      </c>
      <c r="O133" s="162">
        <v>365</v>
      </c>
      <c r="P133" s="124">
        <v>0.30857534246575341</v>
      </c>
    </row>
    <row r="134" spans="2:16" x14ac:dyDescent="0.25">
      <c r="B134" s="13" t="s">
        <v>45</v>
      </c>
      <c r="C134" s="71">
        <f>'PIS-REPR'!B55+'ALM-REPR'!D55+'AVE-REPR'!B48</f>
        <v>5123.7599999999993</v>
      </c>
      <c r="D134" s="71">
        <f>'PIS-REPR'!C55+'ALM-REPR'!E55+'AVE-REPR'!C48</f>
        <v>5379.9000000000033</v>
      </c>
      <c r="E134" s="71">
        <f>'PIS-REPR'!D55+'ALM-REPR'!F55+'AVE-REPR'!D48</f>
        <v>9062</v>
      </c>
      <c r="F134" s="71">
        <f>'PIS-REPR'!E55+'ALM-REPR'!G55+'AVE-REPR'!E48</f>
        <v>8959</v>
      </c>
      <c r="G134" s="155">
        <f t="shared" si="17"/>
        <v>0.56541160891635389</v>
      </c>
      <c r="H134" s="155">
        <f t="shared" si="17"/>
        <v>0.60050228820180862</v>
      </c>
      <c r="I134" s="71">
        <f t="shared" si="18"/>
        <v>256.14000000000397</v>
      </c>
      <c r="J134" s="155">
        <f t="shared" si="19"/>
        <v>4.9990631879714087E-2</v>
      </c>
      <c r="K134" s="224"/>
      <c r="M134" t="s">
        <v>79</v>
      </c>
      <c r="N134" s="162">
        <v>0</v>
      </c>
      <c r="O134" s="162">
        <v>216</v>
      </c>
      <c r="P134" s="124">
        <v>0</v>
      </c>
    </row>
    <row r="135" spans="2:16" x14ac:dyDescent="0.25">
      <c r="B135" s="16" t="s">
        <v>80</v>
      </c>
      <c r="C135" s="17">
        <f>'PIS-REPR'!B56+'ALM-REPR'!D56</f>
        <v>475.89</v>
      </c>
      <c r="D135" s="17">
        <f>'PIS-REPR'!C56+'ALM-REPR'!E56</f>
        <v>581.12</v>
      </c>
      <c r="E135" s="17">
        <f>'PIS-REPR'!D56+'ALM-REPR'!F56</f>
        <v>942</v>
      </c>
      <c r="F135" s="17">
        <f>'PIS-REPR'!E56+'ALM-REPR'!G56</f>
        <v>1223</v>
      </c>
      <c r="G135" s="25">
        <f t="shared" si="17"/>
        <v>0.50519108280254776</v>
      </c>
      <c r="H135" s="25">
        <f t="shared" si="17"/>
        <v>0.47515944399018806</v>
      </c>
      <c r="I135" s="17">
        <f t="shared" si="18"/>
        <v>105.23000000000002</v>
      </c>
      <c r="J135" s="25">
        <f t="shared" si="19"/>
        <v>0.22112252831536705</v>
      </c>
      <c r="K135" s="228"/>
      <c r="M135" t="s">
        <v>65</v>
      </c>
      <c r="N135" s="162">
        <v>12.98</v>
      </c>
      <c r="O135" s="162">
        <v>17</v>
      </c>
      <c r="P135" s="124">
        <v>0.7635294117647059</v>
      </c>
    </row>
    <row r="136" spans="2:16" x14ac:dyDescent="0.25">
      <c r="B136" s="13" t="s">
        <v>81</v>
      </c>
      <c r="C136" s="71">
        <f>'PIS-REPR'!B57+'ALM-REPR'!D57</f>
        <v>475.89</v>
      </c>
      <c r="D136" s="71">
        <f>'PIS-REPR'!C57+'ALM-REPR'!E57</f>
        <v>581.43000000000006</v>
      </c>
      <c r="E136" s="71">
        <f>'PIS-REPR'!D57+'ALM-REPR'!F57</f>
        <v>942</v>
      </c>
      <c r="F136" s="71">
        <f>'PIS-REPR'!E57+'ALM-REPR'!G57</f>
        <v>1223</v>
      </c>
      <c r="G136" s="155">
        <f t="shared" si="17"/>
        <v>0.50519108280254776</v>
      </c>
      <c r="H136" s="155">
        <f t="shared" si="17"/>
        <v>0.47541291905151273</v>
      </c>
      <c r="I136" s="71">
        <f t="shared" si="18"/>
        <v>105.54000000000008</v>
      </c>
      <c r="J136" s="155">
        <f t="shared" si="19"/>
        <v>0.22177393935573364</v>
      </c>
      <c r="K136" s="224"/>
      <c r="M136" t="s">
        <v>63</v>
      </c>
      <c r="N136" s="162">
        <v>26.32</v>
      </c>
      <c r="O136" s="162">
        <v>0</v>
      </c>
      <c r="P136" s="124" t="s">
        <v>257</v>
      </c>
    </row>
    <row r="137" spans="2:16" x14ac:dyDescent="0.25">
      <c r="B137" s="16" t="s">
        <v>56</v>
      </c>
      <c r="C137" s="17">
        <f>'PIS-REPR'!B58+'ALM-REPR'!D58+'ALG-REPR'!B33</f>
        <v>70856.289999999994</v>
      </c>
      <c r="D137" s="17">
        <f>'PIS-REPR'!C58+'ALM-REPR'!E58+'ALG-REPR'!C33</f>
        <v>73362.810000000012</v>
      </c>
      <c r="E137" s="17">
        <f>'PIS-REPR'!D58+'ALM-REPR'!F58+'ALG-REPR'!D33</f>
        <v>75117.092199999999</v>
      </c>
      <c r="F137" s="17">
        <f>'PIS-REPR'!E58+'ALM-REPR'!G58+'ALG-REPR'!E33</f>
        <v>76265.906799999997</v>
      </c>
      <c r="G137" s="25">
        <f t="shared" si="17"/>
        <v>0.94327786026839833</v>
      </c>
      <c r="H137" s="25">
        <f t="shared" si="17"/>
        <v>0.96193454032333114</v>
      </c>
      <c r="I137" s="17">
        <f t="shared" si="18"/>
        <v>2506.5200000000186</v>
      </c>
      <c r="J137" s="25">
        <f t="shared" si="19"/>
        <v>3.5374699973707679E-2</v>
      </c>
      <c r="K137" s="228"/>
    </row>
    <row r="138" spans="2:16" x14ac:dyDescent="0.25">
      <c r="B138" s="13" t="s">
        <v>46</v>
      </c>
      <c r="C138" s="71">
        <f>'PIS-REPR'!B59+'ALM-REPR'!D59+'ALG-REPR'!B34</f>
        <v>70856.289999999994</v>
      </c>
      <c r="D138" s="71">
        <f>'PIS-REPR'!C59+'ALM-REPR'!E59+'ALG-REPR'!C34</f>
        <v>73362.410000000033</v>
      </c>
      <c r="E138" s="71">
        <f>'PIS-REPR'!D59+'ALM-REPR'!F59+'ALG-REPR'!D34</f>
        <v>75117.092199999999</v>
      </c>
      <c r="F138" s="71">
        <f>'PIS-REPR'!E59+'ALM-REPR'!G59+'ALG-REPR'!E34</f>
        <v>76265.906799999997</v>
      </c>
      <c r="G138" s="155">
        <f t="shared" si="17"/>
        <v>0.94327786026839833</v>
      </c>
      <c r="H138" s="155">
        <f t="shared" si="17"/>
        <v>0.96192929551583117</v>
      </c>
      <c r="I138" s="71">
        <f t="shared" si="18"/>
        <v>2506.120000000039</v>
      </c>
      <c r="J138" s="155">
        <f t="shared" si="19"/>
        <v>3.5369054744470052E-2</v>
      </c>
      <c r="K138" s="224"/>
    </row>
    <row r="139" spans="2:16" x14ac:dyDescent="0.25">
      <c r="B139" s="16" t="s">
        <v>57</v>
      </c>
      <c r="C139" s="17">
        <f>'PIS-REPR'!B60+'ALM-REPR'!D60+'AVE-REPR'!B49</f>
        <v>1300.2299999999998</v>
      </c>
      <c r="D139" s="17">
        <f>'PIS-REPR'!C60+'ALM-REPR'!E60+'AVE-REPR'!C49</f>
        <v>1355.2499999999991</v>
      </c>
      <c r="E139" s="17">
        <f>'PIS-REPR'!D60+'ALM-REPR'!F60+'AVE-REPR'!D49</f>
        <v>1979</v>
      </c>
      <c r="F139" s="17">
        <f>'PIS-REPR'!E60+'ALM-REPR'!G60+'AVE-REPR'!E49</f>
        <v>2177</v>
      </c>
      <c r="G139" s="25">
        <f t="shared" si="17"/>
        <v>0.65701364325416867</v>
      </c>
      <c r="H139" s="25">
        <f t="shared" si="17"/>
        <v>0.62253100597152</v>
      </c>
      <c r="I139" s="17">
        <f t="shared" si="18"/>
        <v>55.0199999999993</v>
      </c>
      <c r="J139" s="25">
        <f t="shared" si="19"/>
        <v>4.231559031863541E-2</v>
      </c>
      <c r="K139" s="228"/>
    </row>
    <row r="140" spans="2:16" x14ac:dyDescent="0.25">
      <c r="B140" s="13" t="s">
        <v>47</v>
      </c>
      <c r="C140" s="71">
        <f>'PIS-REPR'!B61+'ALM-REPR'!D61+'AVE-REPR'!B50</f>
        <v>1300.2299999999998</v>
      </c>
      <c r="D140" s="71">
        <f>'PIS-REPR'!C61+'ALM-REPR'!E61+'AVE-REPR'!C50</f>
        <v>1355.2499999999995</v>
      </c>
      <c r="E140" s="71">
        <f>'PIS-REPR'!D61+'ALM-REPR'!F61+'AVE-REPR'!D50</f>
        <v>1979</v>
      </c>
      <c r="F140" s="71">
        <f>'PIS-REPR'!E61+'ALM-REPR'!G61+'AVE-REPR'!E50</f>
        <v>2177</v>
      </c>
      <c r="G140" s="155">
        <f t="shared" si="17"/>
        <v>0.65701364325416867</v>
      </c>
      <c r="H140" s="155">
        <f t="shared" si="17"/>
        <v>0.62253100597152022</v>
      </c>
      <c r="I140" s="71">
        <f t="shared" si="18"/>
        <v>55.019999999999754</v>
      </c>
      <c r="J140" s="155">
        <f t="shared" si="19"/>
        <v>4.2315590318635854E-2</v>
      </c>
      <c r="K140" s="224"/>
    </row>
    <row r="141" spans="2:16" x14ac:dyDescent="0.25">
      <c r="B141" s="16" t="s">
        <v>58</v>
      </c>
      <c r="C141" s="17">
        <f>'ALM-REPR'!B62+'AVE-REPR'!B51</f>
        <v>15.820000000000002</v>
      </c>
      <c r="D141" s="17">
        <f>'ALM-REPR'!C62+'AVE-REPR'!C51</f>
        <v>3.9400000000000004</v>
      </c>
      <c r="E141" s="17">
        <f>'ALM-REPR'!D62+'AVE-REPR'!D51</f>
        <v>144.65</v>
      </c>
      <c r="F141" s="17">
        <f>'ALM-REPR'!E62+'AVE-REPR'!E51</f>
        <v>145.74</v>
      </c>
      <c r="G141" s="25">
        <f t="shared" si="17"/>
        <v>0.1093674386450052</v>
      </c>
      <c r="H141" s="25">
        <f t="shared" si="17"/>
        <v>2.7034444901880061E-2</v>
      </c>
      <c r="I141" s="17">
        <f t="shared" si="18"/>
        <v>-11.880000000000003</v>
      </c>
      <c r="J141" s="25">
        <f t="shared" si="19"/>
        <v>-0.75094816687737043</v>
      </c>
      <c r="K141" s="228"/>
    </row>
    <row r="142" spans="2:16" x14ac:dyDescent="0.25">
      <c r="B142" s="13" t="s">
        <v>48</v>
      </c>
      <c r="C142" s="14">
        <f>'ALM-REPR'!B63+'AVE-REPR'!B52</f>
        <v>12.09</v>
      </c>
      <c r="D142" s="14">
        <f>'ALM-REPR'!C63+'AVE-REPR'!C52</f>
        <v>0.19999999999999998</v>
      </c>
      <c r="E142" s="14">
        <f>'ALM-REPR'!D63+'AVE-REPR'!D52</f>
        <v>90.65</v>
      </c>
      <c r="F142" s="14">
        <f>'ALM-REPR'!E63+'AVE-REPR'!E52</f>
        <v>91.74</v>
      </c>
      <c r="G142" s="155">
        <f t="shared" si="17"/>
        <v>0.13337010479867623</v>
      </c>
      <c r="H142" s="155">
        <f t="shared" si="17"/>
        <v>2.1800741225201656E-3</v>
      </c>
      <c r="I142" s="71">
        <f t="shared" si="18"/>
        <v>-11.89</v>
      </c>
      <c r="J142" s="155">
        <f t="shared" si="19"/>
        <v>-0.98345740281224148</v>
      </c>
      <c r="K142" s="224"/>
    </row>
    <row r="143" spans="2:16" x14ac:dyDescent="0.25">
      <c r="B143" s="13" t="s">
        <v>72</v>
      </c>
      <c r="C143" s="14">
        <f>'AVE-REPR'!B53</f>
        <v>3.51</v>
      </c>
      <c r="D143" s="14">
        <f>'AVE-REPR'!C53</f>
        <v>3.56</v>
      </c>
      <c r="E143" s="14">
        <f>'AVE-REPR'!D53</f>
        <v>26</v>
      </c>
      <c r="F143" s="14">
        <f>'AVE-REPR'!E53</f>
        <v>26</v>
      </c>
      <c r="G143" s="155">
        <f t="shared" ref="G143:H145" si="20">IFERROR(C143/E143,"")</f>
        <v>0.13499999999999998</v>
      </c>
      <c r="H143" s="155">
        <f t="shared" si="20"/>
        <v>0.13692307692307693</v>
      </c>
      <c r="I143" s="71">
        <f>IFERROR(D143-C143,"")</f>
        <v>5.0000000000000266E-2</v>
      </c>
      <c r="J143" s="155">
        <f>IFERROR((D143/C143)-1,"")</f>
        <v>1.4245014245014342E-2</v>
      </c>
      <c r="K143" s="224"/>
    </row>
    <row r="144" spans="2:16" x14ac:dyDescent="0.25">
      <c r="B144" s="13" t="s">
        <v>73</v>
      </c>
      <c r="C144" s="14">
        <f>'AVE-REPR'!B54</f>
        <v>0.22</v>
      </c>
      <c r="D144" s="14">
        <f>'AVE-REPR'!C54</f>
        <v>0.18</v>
      </c>
      <c r="E144" s="14">
        <f>'AVE-REPR'!D54</f>
        <v>28</v>
      </c>
      <c r="F144" s="14">
        <f>'AVE-REPR'!E54</f>
        <v>28</v>
      </c>
      <c r="G144" s="155">
        <f t="shared" si="20"/>
        <v>7.8571428571428577E-3</v>
      </c>
      <c r="H144" s="155">
        <f t="shared" si="20"/>
        <v>6.4285714285714285E-3</v>
      </c>
      <c r="I144" s="71">
        <f>IFERROR(D144-C144,"")</f>
        <v>-4.0000000000000008E-2</v>
      </c>
      <c r="J144" s="155">
        <f>IFERROR((D144/C144)-1,"")</f>
        <v>-0.18181818181818188</v>
      </c>
      <c r="K144" s="224"/>
    </row>
    <row r="145" spans="2:23" x14ac:dyDescent="0.25">
      <c r="B145" s="18" t="s">
        <v>59</v>
      </c>
      <c r="C145" s="19">
        <f>'PIS-REPR'!B62+'ALM-REPR'!D64+'AVE-REPR'!B55+'ALG-REPR'!B35</f>
        <v>527854.81000000006</v>
      </c>
      <c r="D145" s="19">
        <f>'PIS-REPR'!C62+'ALM-REPR'!E64+'AVE-REPR'!C55+'ALG-REPR'!C35</f>
        <v>551239.6399999999</v>
      </c>
      <c r="E145" s="19">
        <f>'PIS-REPR'!D62+'ALM-REPR'!F64+'AVE-REPR'!D55+'ALG-REPR'!D35</f>
        <v>655574.36470000003</v>
      </c>
      <c r="F145" s="19">
        <f>'PIS-REPR'!E62+'ALM-REPR'!G64+'AVE-REPR'!E55+'ALG-REPR'!E35</f>
        <v>680249.16480000003</v>
      </c>
      <c r="G145" s="75">
        <f>IFERROR(C145/E145,"")</f>
        <v>0.80517915041042487</v>
      </c>
      <c r="H145" s="75">
        <f t="shared" si="20"/>
        <v>0.8103496020639287</v>
      </c>
      <c r="I145" s="31">
        <f>IFERROR(D145-C145,"")</f>
        <v>23384.829999999842</v>
      </c>
      <c r="J145" s="75">
        <f>IFERROR((D145/C145)-1,"")</f>
        <v>4.4301632867568053E-2</v>
      </c>
      <c r="K145" s="229"/>
    </row>
    <row r="146" spans="2:23" x14ac:dyDescent="0.25">
      <c r="C146" s="162"/>
      <c r="D146" s="162"/>
      <c r="E146" s="162"/>
      <c r="F146" s="162"/>
    </row>
    <row r="147" spans="2:23" ht="21" x14ac:dyDescent="0.35">
      <c r="B147" s="211" t="s">
        <v>260</v>
      </c>
    </row>
    <row r="148" spans="2:23" ht="42.75" customHeight="1" x14ac:dyDescent="0.25">
      <c r="B148" s="299" t="s">
        <v>2</v>
      </c>
      <c r="C148" s="299" t="s">
        <v>235</v>
      </c>
      <c r="D148" s="299"/>
      <c r="E148" s="300" t="s">
        <v>3</v>
      </c>
      <c r="F148" s="300"/>
      <c r="G148" s="300" t="s">
        <v>236</v>
      </c>
      <c r="H148" s="300"/>
      <c r="I148" s="300" t="s">
        <v>237</v>
      </c>
      <c r="J148" s="300"/>
      <c r="K148" s="230"/>
    </row>
    <row r="149" spans="2:23" x14ac:dyDescent="0.25">
      <c r="B149" s="299"/>
      <c r="C149" s="183">
        <v>2019</v>
      </c>
      <c r="D149" s="184">
        <v>2020</v>
      </c>
      <c r="E149" s="183">
        <v>2019</v>
      </c>
      <c r="F149" s="183">
        <v>2020</v>
      </c>
      <c r="G149" s="184">
        <v>2019</v>
      </c>
      <c r="H149" s="184">
        <v>2020</v>
      </c>
      <c r="I149" s="183" t="s">
        <v>4</v>
      </c>
      <c r="J149" s="59" t="s">
        <v>5</v>
      </c>
      <c r="K149" s="231"/>
    </row>
    <row r="150" spans="2:23" ht="42.75" customHeight="1" x14ac:dyDescent="0.25">
      <c r="B150" s="60" t="s">
        <v>49</v>
      </c>
      <c r="C150" s="61">
        <f>'ALM-REPR'!D70+'PIS-REPR'!B68+'AVE-REPR'!B61</f>
        <v>21185.170000000002</v>
      </c>
      <c r="D150" s="61">
        <f>'ALM-REPR'!E70+'PIS-REPR'!C68+'AVE-REPR'!C61</f>
        <v>25853.620000000003</v>
      </c>
      <c r="E150" s="61">
        <f>'ALM-REPR'!F70+'PIS-REPR'!D68+'AVE-REPR'!D61</f>
        <v>26895</v>
      </c>
      <c r="F150" s="61">
        <f>'ALM-REPR'!G70+'PIS-REPR'!E68+'AVE-REPR'!E61</f>
        <v>30262</v>
      </c>
      <c r="G150" s="62">
        <f>IFERROR(C150/E150,"")</f>
        <v>0.78769920059490617</v>
      </c>
      <c r="H150" s="62">
        <f>IFERROR(D150/F150,"")</f>
        <v>0.85432621769876427</v>
      </c>
      <c r="I150" s="61">
        <f>IFERROR(D150-C150,"")</f>
        <v>4668.4500000000007</v>
      </c>
      <c r="J150" s="62">
        <f>IFERROR((D150/C150)-1,"")</f>
        <v>0.22036405655465585</v>
      </c>
      <c r="K150" s="232"/>
      <c r="M150" s="169" t="s">
        <v>234</v>
      </c>
      <c r="N150" s="171" t="s">
        <v>239</v>
      </c>
      <c r="O150" s="169" t="s">
        <v>240</v>
      </c>
      <c r="P150" s="169" t="s">
        <v>241</v>
      </c>
      <c r="T150" s="169" t="s">
        <v>234</v>
      </c>
      <c r="U150" s="171" t="s">
        <v>248</v>
      </c>
      <c r="V150" s="169" t="s">
        <v>240</v>
      </c>
      <c r="W150" s="169" t="s">
        <v>5</v>
      </c>
    </row>
    <row r="151" spans="2:23" x14ac:dyDescent="0.25">
      <c r="B151" s="13" t="s">
        <v>11</v>
      </c>
      <c r="C151" s="14">
        <f>'ALM-REPR'!D71+'PIS-REPR'!B69</f>
        <v>823.54000000000019</v>
      </c>
      <c r="D151" s="14">
        <f>'ALM-REPR'!E71+'PIS-REPR'!C69</f>
        <v>967.00000000000068</v>
      </c>
      <c r="E151" s="14">
        <f>'ALM-REPR'!F71+'PIS-REPR'!D69</f>
        <v>1983</v>
      </c>
      <c r="F151" s="14">
        <f>'ALM-REPR'!G71+'PIS-REPR'!E69</f>
        <v>2102</v>
      </c>
      <c r="G151" s="26">
        <f t="shared" ref="G151:H204" si="21">IFERROR(C151/E151,"")</f>
        <v>0.41530005042864354</v>
      </c>
      <c r="H151" s="26">
        <f t="shared" si="21"/>
        <v>0.46003805899143707</v>
      </c>
      <c r="I151" s="14">
        <f t="shared" ref="I151:I204" si="22">IFERROR(D151-C151,"")</f>
        <v>143.46000000000049</v>
      </c>
      <c r="J151" s="26">
        <f t="shared" ref="J151:J204" si="23">IFERROR((D151/C151)-1,"")</f>
        <v>0.17419918886757224</v>
      </c>
      <c r="K151" s="233"/>
      <c r="M151" s="170" t="s">
        <v>242</v>
      </c>
      <c r="N151" s="14">
        <f>'ALM-REPR'!G124</f>
        <v>118202</v>
      </c>
      <c r="O151" s="14">
        <f>'ALM-REPR'!E124</f>
        <v>99478</v>
      </c>
      <c r="P151" s="166">
        <f>IFERROR(O151/N151,"")</f>
        <v>0.84159320485270972</v>
      </c>
      <c r="T151" s="170" t="s">
        <v>242</v>
      </c>
      <c r="U151" s="14">
        <f>'ALM-REPR'!D124</f>
        <v>77657.63</v>
      </c>
      <c r="V151" s="14">
        <f>'ALM-REPR'!E124</f>
        <v>99478</v>
      </c>
      <c r="W151" s="166">
        <f>IFERROR((V151/U151)-1,"")</f>
        <v>0.28098166271620695</v>
      </c>
    </row>
    <row r="152" spans="2:23" x14ac:dyDescent="0.25">
      <c r="B152" s="13" t="s">
        <v>12</v>
      </c>
      <c r="C152" s="14">
        <f>'ALM-REPR'!D72+'PIS-REPR'!B70</f>
        <v>448.2600000000001</v>
      </c>
      <c r="D152" s="14">
        <f>'ALM-REPR'!E72+'PIS-REPR'!C70</f>
        <v>644.99000000000012</v>
      </c>
      <c r="E152" s="14">
        <f>'ALM-REPR'!F72+'PIS-REPR'!D70</f>
        <v>448</v>
      </c>
      <c r="F152" s="14">
        <f>'ALM-REPR'!G72+'PIS-REPR'!E70</f>
        <v>687</v>
      </c>
      <c r="G152" s="26">
        <f t="shared" si="21"/>
        <v>1.0005803571428573</v>
      </c>
      <c r="H152" s="26">
        <f t="shared" si="21"/>
        <v>0.93885007278020394</v>
      </c>
      <c r="I152" s="14">
        <f t="shared" si="22"/>
        <v>196.73000000000002</v>
      </c>
      <c r="J152" s="26">
        <f t="shared" si="23"/>
        <v>0.43887476018382188</v>
      </c>
      <c r="K152" s="233"/>
      <c r="M152" s="170" t="s">
        <v>243</v>
      </c>
      <c r="N152" s="14">
        <f>'PIS-REPR'!E118</f>
        <v>15699</v>
      </c>
      <c r="O152" s="14">
        <f>'PIS-REPR'!C118</f>
        <v>11729.22</v>
      </c>
      <c r="P152" s="166">
        <f>IFERROR(O152/N152,"")</f>
        <v>0.74713166443722523</v>
      </c>
      <c r="T152" s="170" t="s">
        <v>243</v>
      </c>
      <c r="U152" s="14">
        <f>'PIS-REPR'!B118</f>
        <v>8776.7900000000045</v>
      </c>
      <c r="V152" s="14">
        <f>'PIS-REPR'!C118</f>
        <v>11729.22</v>
      </c>
      <c r="W152" s="166">
        <f>IFERROR((V152/U152)-1,"")</f>
        <v>0.33639063940233194</v>
      </c>
    </row>
    <row r="153" spans="2:23" x14ac:dyDescent="0.25">
      <c r="B153" s="13" t="s">
        <v>13</v>
      </c>
      <c r="C153" s="14">
        <f>'ALM-REPR'!D73+'PIS-REPR'!B71+'AVE-REPR'!B62</f>
        <v>4639.1200000000008</v>
      </c>
      <c r="D153" s="14">
        <f>'ALM-REPR'!E73+'PIS-REPR'!C71+'AVE-REPR'!C62</f>
        <v>6097.3200000000033</v>
      </c>
      <c r="E153" s="14">
        <f>'ALM-REPR'!F73+'PIS-REPR'!D71+'AVE-REPR'!D62</f>
        <v>4516</v>
      </c>
      <c r="F153" s="14">
        <f>'ALM-REPR'!G73+'PIS-REPR'!E71+'AVE-REPR'!E62</f>
        <v>6287</v>
      </c>
      <c r="G153" s="26">
        <f t="shared" si="21"/>
        <v>1.0272630646589904</v>
      </c>
      <c r="H153" s="26">
        <f t="shared" si="21"/>
        <v>0.96982980753936743</v>
      </c>
      <c r="I153" s="14">
        <f t="shared" si="22"/>
        <v>1458.2000000000025</v>
      </c>
      <c r="J153" s="26">
        <f t="shared" si="23"/>
        <v>0.3143268550932079</v>
      </c>
      <c r="K153" s="233"/>
      <c r="M153" s="170" t="s">
        <v>244</v>
      </c>
      <c r="N153" s="14">
        <f>'AVE-REPR'!E90</f>
        <v>8298</v>
      </c>
      <c r="O153" s="14">
        <f>'AVE-REPR'!C90</f>
        <v>6911.850000000004</v>
      </c>
      <c r="P153" s="166">
        <f>IFERROR(O153/N153,"")</f>
        <v>0.83295372378886523</v>
      </c>
      <c r="T153" s="170" t="s">
        <v>244</v>
      </c>
      <c r="U153" s="14">
        <f>'AVE-REPR'!B90</f>
        <v>7116.6900000000014</v>
      </c>
      <c r="V153" s="14">
        <f>'AVE-REPR'!C90</f>
        <v>6911.850000000004</v>
      </c>
      <c r="W153" s="252">
        <f>IFERROR((V153/U153)-1,"")</f>
        <v>-2.8783043802666275E-2</v>
      </c>
    </row>
    <row r="154" spans="2:23" x14ac:dyDescent="0.25">
      <c r="B154" s="13" t="s">
        <v>14</v>
      </c>
      <c r="C154" s="14">
        <f>'ALM-REPR'!D74+'PIS-REPR'!B72</f>
        <v>6516.75</v>
      </c>
      <c r="D154" s="14">
        <f>'ALM-REPR'!E74+'PIS-REPR'!C72</f>
        <v>6997.8900000000031</v>
      </c>
      <c r="E154" s="14">
        <f>'ALM-REPR'!F74+'PIS-REPR'!D72</f>
        <v>8959</v>
      </c>
      <c r="F154" s="14">
        <f>'ALM-REPR'!G74+'PIS-REPR'!E72</f>
        <v>9764</v>
      </c>
      <c r="G154" s="26">
        <f t="shared" si="21"/>
        <v>0.72739703091862928</v>
      </c>
      <c r="H154" s="26">
        <f t="shared" si="21"/>
        <v>0.71670319541171679</v>
      </c>
      <c r="I154" s="14">
        <f t="shared" si="22"/>
        <v>481.14000000000306</v>
      </c>
      <c r="J154" s="26">
        <f t="shared" si="23"/>
        <v>7.3831280929911758E-2</v>
      </c>
      <c r="K154" s="233"/>
      <c r="M154" s="170" t="s">
        <v>245</v>
      </c>
      <c r="N154" s="14">
        <f>'ALG-REPR'!E62</f>
        <v>1231.896</v>
      </c>
      <c r="O154" s="14">
        <f>'ALG-REPR'!C62</f>
        <v>715.95</v>
      </c>
      <c r="P154" s="166">
        <f>IFERROR(O154/N154,"")</f>
        <v>0.58117730717528104</v>
      </c>
      <c r="T154" s="170" t="s">
        <v>245</v>
      </c>
      <c r="U154" s="14">
        <f>'ALG-REPR'!B62</f>
        <v>695.71999999999991</v>
      </c>
      <c r="V154" s="14">
        <f>'ALG-REPR'!C62</f>
        <v>715.95</v>
      </c>
      <c r="W154" s="175">
        <f>IFERROR((V154/U154)-1,"")</f>
        <v>2.9077789915483487E-2</v>
      </c>
    </row>
    <row r="155" spans="2:23" x14ac:dyDescent="0.25">
      <c r="B155" s="13" t="s">
        <v>15</v>
      </c>
      <c r="C155" s="14">
        <f>'ALM-REPR'!D75+'PIS-REPR'!B73</f>
        <v>498.2</v>
      </c>
      <c r="D155" s="14">
        <f>'ALM-REPR'!E75+'PIS-REPR'!C73</f>
        <v>747.29</v>
      </c>
      <c r="E155" s="14">
        <f>'ALM-REPR'!F75+'PIS-REPR'!D73</f>
        <v>510</v>
      </c>
      <c r="F155" s="14">
        <f>'ALM-REPR'!G75+'PIS-REPR'!E73</f>
        <v>777</v>
      </c>
      <c r="G155" s="26">
        <f t="shared" si="21"/>
        <v>0.97686274509803916</v>
      </c>
      <c r="H155" s="26">
        <f t="shared" si="21"/>
        <v>0.96176319176319169</v>
      </c>
      <c r="I155" s="14">
        <f t="shared" si="22"/>
        <v>249.08999999999997</v>
      </c>
      <c r="J155" s="26">
        <f t="shared" si="23"/>
        <v>0.49997992773986355</v>
      </c>
      <c r="K155" s="233"/>
      <c r="P155" s="168">
        <f>SUM(O151:O154)/SUM(N151:N154)</f>
        <v>0.82851758800976882</v>
      </c>
    </row>
    <row r="156" spans="2:23" x14ac:dyDescent="0.25">
      <c r="B156" s="13" t="s">
        <v>16</v>
      </c>
      <c r="C156" s="14">
        <f>'ALM-REPR'!D76+'PIS-REPR'!B74</f>
        <v>971.43000000000006</v>
      </c>
      <c r="D156" s="14">
        <f>'ALM-REPR'!E76+'PIS-REPR'!C74</f>
        <v>1391.2300000000002</v>
      </c>
      <c r="E156" s="14">
        <f>'ALM-REPR'!F76+'PIS-REPR'!D74</f>
        <v>1256</v>
      </c>
      <c r="F156" s="14">
        <f>'ALM-REPR'!G76+'PIS-REPR'!E74</f>
        <v>1421</v>
      </c>
      <c r="G156" s="26">
        <f t="shared" si="21"/>
        <v>0.77343152866242049</v>
      </c>
      <c r="H156" s="26">
        <f t="shared" si="21"/>
        <v>0.97904996481351181</v>
      </c>
      <c r="I156" s="14">
        <f t="shared" si="22"/>
        <v>419.80000000000018</v>
      </c>
      <c r="J156" s="26">
        <f t="shared" si="23"/>
        <v>0.43214642331408348</v>
      </c>
      <c r="K156" s="233"/>
      <c r="L156" t="s">
        <v>296</v>
      </c>
    </row>
    <row r="157" spans="2:23" x14ac:dyDescent="0.25">
      <c r="B157" s="13" t="s">
        <v>17</v>
      </c>
      <c r="C157" s="14">
        <f>'ALM-REPR'!D77+'PIS-REPR'!B75+'AVE-REPR'!B63</f>
        <v>252.62999999999994</v>
      </c>
      <c r="D157" s="14">
        <f>'ALM-REPR'!E77+'PIS-REPR'!C75+'AVE-REPR'!C63</f>
        <v>332.48</v>
      </c>
      <c r="E157" s="14">
        <f>'ALM-REPR'!F77+'PIS-REPR'!D75+'AVE-REPR'!D63</f>
        <v>443</v>
      </c>
      <c r="F157" s="14">
        <f>'ALM-REPR'!G77+'PIS-REPR'!E75+'AVE-REPR'!E63</f>
        <v>458</v>
      </c>
      <c r="G157" s="26">
        <f t="shared" si="21"/>
        <v>0.57027088036117368</v>
      </c>
      <c r="H157" s="26">
        <f t="shared" si="21"/>
        <v>0.72593886462882096</v>
      </c>
      <c r="I157" s="14">
        <f t="shared" si="22"/>
        <v>79.85000000000008</v>
      </c>
      <c r="J157" s="26">
        <f t="shared" si="23"/>
        <v>0.31607489213474294</v>
      </c>
      <c r="K157" s="233"/>
    </row>
    <row r="158" spans="2:23" x14ac:dyDescent="0.25">
      <c r="B158" s="13" t="s">
        <v>18</v>
      </c>
      <c r="C158" s="14">
        <f>'ALM-REPR'!D78+'PIS-REPR'!B76</f>
        <v>7349.1500000000005</v>
      </c>
      <c r="D158" s="14">
        <f>'ALM-REPR'!E78+'PIS-REPR'!C76</f>
        <v>9071.5899999999983</v>
      </c>
      <c r="E158" s="14">
        <f>'ALM-REPR'!F78+'PIS-REPR'!D76</f>
        <v>8780</v>
      </c>
      <c r="F158" s="14">
        <f>'ALM-REPR'!G78+'PIS-REPR'!E76</f>
        <v>9159</v>
      </c>
      <c r="G158" s="26">
        <f t="shared" si="21"/>
        <v>0.83703302961275627</v>
      </c>
      <c r="H158" s="26">
        <f t="shared" si="21"/>
        <v>0.99045638170105887</v>
      </c>
      <c r="I158" s="14">
        <f t="shared" si="22"/>
        <v>1722.4399999999978</v>
      </c>
      <c r="J158" s="26">
        <f t="shared" si="23"/>
        <v>0.23437268255512511</v>
      </c>
      <c r="K158" s="233"/>
    </row>
    <row r="159" spans="2:23" x14ac:dyDescent="0.25">
      <c r="B159" s="60" t="s">
        <v>50</v>
      </c>
      <c r="C159" s="61">
        <f>'ALM-REPR'!D79+'PIS-REPR'!B77+'AVE-REPR'!B64</f>
        <v>7847.3700000000008</v>
      </c>
      <c r="D159" s="61">
        <f>'ALM-REPR'!E79+'PIS-REPR'!C77+'AVE-REPR'!C64</f>
        <v>19001.57</v>
      </c>
      <c r="E159" s="61">
        <f>'ALM-REPR'!F79+'PIS-REPR'!D77+'AVE-REPR'!D64</f>
        <v>16498</v>
      </c>
      <c r="F159" s="61">
        <f>'ALM-REPR'!G79+'PIS-REPR'!E77+'AVE-REPR'!E64</f>
        <v>20339</v>
      </c>
      <c r="G159" s="62">
        <f t="shared" si="21"/>
        <v>0.47565583707116021</v>
      </c>
      <c r="H159" s="62">
        <f t="shared" si="21"/>
        <v>0.93424307979743348</v>
      </c>
      <c r="I159" s="61">
        <f t="shared" si="22"/>
        <v>11154.199999999999</v>
      </c>
      <c r="J159" s="62">
        <f t="shared" si="23"/>
        <v>1.4213934095117216</v>
      </c>
      <c r="K159" s="232"/>
    </row>
    <row r="160" spans="2:23" x14ac:dyDescent="0.25">
      <c r="B160" s="13" t="s">
        <v>19</v>
      </c>
      <c r="C160" s="14">
        <f>'ALM-REPR'!D80+'PIS-REPR'!B78+'AVE-REPR'!B65</f>
        <v>4490.41</v>
      </c>
      <c r="D160" s="14">
        <f>'ALM-REPR'!E80+'PIS-REPR'!C78+'AVE-REPR'!C65</f>
        <v>5814.2499999999982</v>
      </c>
      <c r="E160" s="14">
        <f>'ALM-REPR'!F80+'PIS-REPR'!D78+'AVE-REPR'!D65</f>
        <v>4661</v>
      </c>
      <c r="F160" s="14">
        <f>'ALM-REPR'!G80+'PIS-REPR'!E78+'AVE-REPR'!E65</f>
        <v>6984</v>
      </c>
      <c r="G160" s="26">
        <f t="shared" si="21"/>
        <v>0.96340055782021028</v>
      </c>
      <c r="H160" s="26">
        <f t="shared" si="21"/>
        <v>0.83251002290950715</v>
      </c>
      <c r="I160" s="14">
        <f t="shared" si="22"/>
        <v>1323.8399999999983</v>
      </c>
      <c r="J160" s="26">
        <f t="shared" si="23"/>
        <v>0.2948149500825088</v>
      </c>
      <c r="K160" s="233"/>
    </row>
    <row r="161" spans="2:11" x14ac:dyDescent="0.25">
      <c r="B161" s="13" t="s">
        <v>20</v>
      </c>
      <c r="C161" s="14">
        <f>'ALM-REPR'!D81+'PIS-REPR'!B79+'AVE-REPR'!B66</f>
        <v>1426.78</v>
      </c>
      <c r="D161" s="14">
        <f>'ALM-REPR'!E81+'PIS-REPR'!C79+'AVE-REPR'!C66</f>
        <v>1812.17</v>
      </c>
      <c r="E161" s="14">
        <f>'ALM-REPR'!F81+'PIS-REPR'!D79+'AVE-REPR'!D66</f>
        <v>1532</v>
      </c>
      <c r="F161" s="14">
        <f>'ALM-REPR'!G81+'PIS-REPR'!E79+'AVE-REPR'!E66</f>
        <v>2029</v>
      </c>
      <c r="G161" s="26">
        <f t="shared" si="21"/>
        <v>0.93131853785900787</v>
      </c>
      <c r="H161" s="26">
        <f t="shared" si="21"/>
        <v>0.89313454903893552</v>
      </c>
      <c r="I161" s="14">
        <f t="shared" si="22"/>
        <v>385.3900000000001</v>
      </c>
      <c r="J161" s="26">
        <f t="shared" si="23"/>
        <v>0.2701117200970018</v>
      </c>
      <c r="K161" s="233"/>
    </row>
    <row r="162" spans="2:11" x14ac:dyDescent="0.25">
      <c r="B162" s="13" t="s">
        <v>21</v>
      </c>
      <c r="C162" s="14">
        <f>'ALM-REPR'!D82+'PIS-REPR'!B80+'AVE-REPR'!B67</f>
        <v>2135.9300000000003</v>
      </c>
      <c r="D162" s="14">
        <f>'ALM-REPR'!E82+'PIS-REPR'!C80+'AVE-REPR'!C67</f>
        <v>11602.31</v>
      </c>
      <c r="E162" s="14">
        <f>'ALM-REPR'!F82+'PIS-REPR'!D80+'AVE-REPR'!D67</f>
        <v>10350</v>
      </c>
      <c r="F162" s="14">
        <f>'ALM-REPR'!G82+'PIS-REPR'!E80+'AVE-REPR'!E67</f>
        <v>11564</v>
      </c>
      <c r="G162" s="26">
        <f t="shared" si="21"/>
        <v>0.20637004830917877</v>
      </c>
      <c r="H162" s="26">
        <f t="shared" si="21"/>
        <v>1.0033128675198892</v>
      </c>
      <c r="I162" s="14">
        <f t="shared" si="22"/>
        <v>9466.3799999999992</v>
      </c>
      <c r="J162" s="26">
        <f t="shared" si="23"/>
        <v>4.4319710851947383</v>
      </c>
      <c r="K162" s="233"/>
    </row>
    <row r="163" spans="2:11" x14ac:dyDescent="0.25">
      <c r="B163" s="60" t="s">
        <v>60</v>
      </c>
      <c r="C163" s="61">
        <f>'ALM-REPR'!D83+'PIS-REPR'!B81+'AVE-REPR'!B68</f>
        <v>7724.6899999999941</v>
      </c>
      <c r="D163" s="61">
        <f>'ALM-REPR'!E83+'PIS-REPR'!C81+'AVE-REPR'!C68</f>
        <v>8187.1999999999944</v>
      </c>
      <c r="E163" s="61">
        <f>'ALM-REPR'!F83+'PIS-REPR'!D81+'AVE-REPR'!D68</f>
        <v>14196</v>
      </c>
      <c r="F163" s="61">
        <f>'ALM-REPR'!G83+'PIS-REPR'!E81+'AVE-REPR'!E68</f>
        <v>14726</v>
      </c>
      <c r="G163" s="62">
        <f t="shared" si="21"/>
        <v>0.54414553395322585</v>
      </c>
      <c r="H163" s="62">
        <f t="shared" si="21"/>
        <v>0.55596903436099376</v>
      </c>
      <c r="I163" s="61">
        <f t="shared" si="22"/>
        <v>462.51000000000022</v>
      </c>
      <c r="J163" s="62">
        <f t="shared" si="23"/>
        <v>5.987424738080116E-2</v>
      </c>
      <c r="K163" s="232"/>
    </row>
    <row r="164" spans="2:11" x14ac:dyDescent="0.25">
      <c r="B164" s="13" t="s">
        <v>22</v>
      </c>
      <c r="C164" s="14">
        <f>'ALM-REPR'!D84+'PIS-REPR'!B82+'AVE-REPR'!B69</f>
        <v>4428.3399999999956</v>
      </c>
      <c r="D164" s="14">
        <f>'ALM-REPR'!E84+'PIS-REPR'!C82+'AVE-REPR'!C69</f>
        <v>4548.4899999999971</v>
      </c>
      <c r="E164" s="14">
        <f>'ALM-REPR'!F84+'PIS-REPR'!D82+'AVE-REPR'!D69</f>
        <v>6650</v>
      </c>
      <c r="F164" s="14">
        <f>'ALM-REPR'!G84+'PIS-REPR'!E82+'AVE-REPR'!E69</f>
        <v>6860</v>
      </c>
      <c r="G164" s="26">
        <f t="shared" si="21"/>
        <v>0.66591578947368357</v>
      </c>
      <c r="H164" s="26">
        <f t="shared" si="21"/>
        <v>0.66304518950437275</v>
      </c>
      <c r="I164" s="14">
        <f t="shared" si="22"/>
        <v>120.15000000000146</v>
      </c>
      <c r="J164" s="26">
        <f t="shared" si="23"/>
        <v>2.7132063030391063E-2</v>
      </c>
      <c r="K164" s="233"/>
    </row>
    <row r="165" spans="2:11" x14ac:dyDescent="0.25">
      <c r="B165" s="13" t="s">
        <v>23</v>
      </c>
      <c r="C165" s="14">
        <f>'ALM-REPR'!D85+'PIS-REPR'!B83+'AVE-REPR'!B70</f>
        <v>1240.0700000000006</v>
      </c>
      <c r="D165" s="14">
        <f>'ALM-REPR'!E85+'PIS-REPR'!C83+'AVE-REPR'!C70</f>
        <v>1310.5500000000006</v>
      </c>
      <c r="E165" s="14">
        <f>'ALM-REPR'!F85+'PIS-REPR'!D83+'AVE-REPR'!D70</f>
        <v>2706</v>
      </c>
      <c r="F165" s="14">
        <f>'ALM-REPR'!G85+'PIS-REPR'!E83+'AVE-REPR'!E70</f>
        <v>2882</v>
      </c>
      <c r="G165" s="26">
        <f t="shared" si="21"/>
        <v>0.45826681448632689</v>
      </c>
      <c r="H165" s="26">
        <f t="shared" si="21"/>
        <v>0.45473629424011125</v>
      </c>
      <c r="I165" s="14">
        <f t="shared" si="22"/>
        <v>70.480000000000018</v>
      </c>
      <c r="J165" s="26">
        <f t="shared" si="23"/>
        <v>5.683550122170522E-2</v>
      </c>
      <c r="K165" s="233"/>
    </row>
    <row r="166" spans="2:11" x14ac:dyDescent="0.25">
      <c r="B166" s="13" t="s">
        <v>24</v>
      </c>
      <c r="C166" s="14">
        <f>'ALM-REPR'!D86+'PIS-REPR'!B84+'AVE-REPR'!B71</f>
        <v>2316.1099999999979</v>
      </c>
      <c r="D166" s="14">
        <f>'ALM-REPR'!E86+'PIS-REPR'!C84+'AVE-REPR'!C71</f>
        <v>2657.5199999999977</v>
      </c>
      <c r="E166" s="14">
        <f>'ALM-REPR'!F86+'PIS-REPR'!D84+'AVE-REPR'!D71</f>
        <v>4871</v>
      </c>
      <c r="F166" s="14">
        <f>'ALM-REPR'!G86+'PIS-REPR'!E84+'AVE-REPR'!E71</f>
        <v>5312</v>
      </c>
      <c r="G166" s="26">
        <f t="shared" si="21"/>
        <v>0.47548963251898951</v>
      </c>
      <c r="H166" s="26">
        <f t="shared" si="21"/>
        <v>0.50028614457831277</v>
      </c>
      <c r="I166" s="14">
        <f t="shared" si="22"/>
        <v>341.40999999999985</v>
      </c>
      <c r="J166" s="26">
        <f t="shared" si="23"/>
        <v>0.1474066430350891</v>
      </c>
      <c r="K166" s="233"/>
    </row>
    <row r="167" spans="2:11" x14ac:dyDescent="0.25">
      <c r="B167" s="60" t="s">
        <v>51</v>
      </c>
      <c r="C167" s="61">
        <f>'ALM-REPR'!D87+'PIS-REPR'!B85+'AVE-REPR'!B79</f>
        <v>16823.769999999997</v>
      </c>
      <c r="D167" s="61">
        <f>'ALM-REPR'!E87+'PIS-REPR'!C85+'AVE-REPR'!C79</f>
        <v>17944.310000000001</v>
      </c>
      <c r="E167" s="61">
        <f>'ALM-REPR'!F87+'PIS-REPR'!D85+'AVE-REPR'!D79</f>
        <v>17676</v>
      </c>
      <c r="F167" s="61">
        <f>'ALM-REPR'!G87+'PIS-REPR'!E85+'AVE-REPR'!E79</f>
        <v>19269</v>
      </c>
      <c r="G167" s="62">
        <f t="shared" si="21"/>
        <v>0.95178603756505975</v>
      </c>
      <c r="H167" s="62">
        <f t="shared" si="21"/>
        <v>0.93125278945456436</v>
      </c>
      <c r="I167" s="61">
        <f t="shared" si="22"/>
        <v>1120.5400000000045</v>
      </c>
      <c r="J167" s="62">
        <f t="shared" si="23"/>
        <v>6.6604571983568839E-2</v>
      </c>
      <c r="K167" s="232"/>
    </row>
    <row r="168" spans="2:11" x14ac:dyDescent="0.25">
      <c r="B168" s="13" t="s">
        <v>25</v>
      </c>
      <c r="C168" s="71">
        <f>'ALM-REPR'!D88+'PIS-REPR'!B86+'AVE-REPR'!B80</f>
        <v>54.350000000000009</v>
      </c>
      <c r="D168" s="71">
        <f>'ALM-REPR'!E88+'PIS-REPR'!C86+'AVE-REPR'!C80</f>
        <v>52.010000000000005</v>
      </c>
      <c r="E168" s="71">
        <f>'ALM-REPR'!F88+'PIS-REPR'!D86+'AVE-REPR'!D80</f>
        <v>50</v>
      </c>
      <c r="F168" s="71">
        <f>'ALM-REPR'!G88+'PIS-REPR'!E86+'AVE-REPR'!E80</f>
        <v>53</v>
      </c>
      <c r="G168" s="74">
        <f t="shared" si="21"/>
        <v>1.0870000000000002</v>
      </c>
      <c r="H168" s="74">
        <f t="shared" si="21"/>
        <v>0.98132075471698121</v>
      </c>
      <c r="I168" s="71">
        <f t="shared" si="22"/>
        <v>-2.3400000000000034</v>
      </c>
      <c r="J168" s="74">
        <f t="shared" si="23"/>
        <v>-4.3054277828886933E-2</v>
      </c>
      <c r="K168" s="91"/>
    </row>
    <row r="169" spans="2:11" x14ac:dyDescent="0.25">
      <c r="B169" s="13" t="s">
        <v>26</v>
      </c>
      <c r="C169" s="14">
        <f>'ALM-REPR'!D89+'PIS-REPR'!B87+'AVE-REPR'!B81</f>
        <v>637.84</v>
      </c>
      <c r="D169" s="14">
        <f>'ALM-REPR'!E89+'PIS-REPR'!C87+'AVE-REPR'!C81</f>
        <v>715.81999999999994</v>
      </c>
      <c r="E169" s="14">
        <f>'ALM-REPR'!F89+'PIS-REPR'!D87+'AVE-REPR'!D81</f>
        <v>472</v>
      </c>
      <c r="F169" s="14">
        <f>'ALM-REPR'!G89+'PIS-REPR'!E87+'AVE-REPR'!E81</f>
        <v>798</v>
      </c>
      <c r="G169" s="26">
        <f t="shared" si="21"/>
        <v>1.3513559322033899</v>
      </c>
      <c r="H169" s="26">
        <f t="shared" si="21"/>
        <v>0.89701754385964905</v>
      </c>
      <c r="I169" s="14">
        <f t="shared" si="22"/>
        <v>77.979999999999905</v>
      </c>
      <c r="J169" s="26">
        <f t="shared" si="23"/>
        <v>0.12225636523266004</v>
      </c>
      <c r="K169" s="233"/>
    </row>
    <row r="170" spans="2:11" x14ac:dyDescent="0.25">
      <c r="B170" s="13" t="s">
        <v>27</v>
      </c>
      <c r="C170" s="14">
        <f>'ALM-REPR'!D90+'PIS-REPR'!B88+'AVE-REPR'!B82</f>
        <v>6255.04</v>
      </c>
      <c r="D170" s="14">
        <f>'ALM-REPR'!E90+'PIS-REPR'!C88+'AVE-REPR'!C82</f>
        <v>7349.8699999999944</v>
      </c>
      <c r="E170" s="14">
        <f>'ALM-REPR'!F90+'PIS-REPR'!D88+'AVE-REPR'!D82</f>
        <v>5904</v>
      </c>
      <c r="F170" s="14">
        <f>'ALM-REPR'!G90+'PIS-REPR'!E88+'AVE-REPR'!E82</f>
        <v>6935</v>
      </c>
      <c r="G170" s="26">
        <f t="shared" si="21"/>
        <v>1.0594579945799458</v>
      </c>
      <c r="H170" s="26">
        <f t="shared" si="21"/>
        <v>1.0598226387887519</v>
      </c>
      <c r="I170" s="14">
        <f t="shared" si="22"/>
        <v>1094.8299999999945</v>
      </c>
      <c r="J170" s="26">
        <f t="shared" si="23"/>
        <v>0.17503165447383151</v>
      </c>
      <c r="K170" s="233"/>
    </row>
    <row r="171" spans="2:11" x14ac:dyDescent="0.25">
      <c r="B171" s="13" t="s">
        <v>28</v>
      </c>
      <c r="C171" s="14">
        <f>'ALM-REPR'!D91+'PIS-REPR'!B89+'AVE-REPR'!B83</f>
        <v>16271.7</v>
      </c>
      <c r="D171" s="14">
        <f>'ALM-REPR'!E91+'PIS-REPR'!C89+'AVE-REPR'!C83</f>
        <v>18702.400000000012</v>
      </c>
      <c r="E171" s="14">
        <f>'ALM-REPR'!F91+'PIS-REPR'!D89+'AVE-REPR'!D83</f>
        <v>18450</v>
      </c>
      <c r="F171" s="14">
        <f>'ALM-REPR'!G91+'PIS-REPR'!E89+'AVE-REPR'!E83</f>
        <v>21448</v>
      </c>
      <c r="G171" s="26">
        <f t="shared" si="21"/>
        <v>0.88193495934959354</v>
      </c>
      <c r="H171" s="26">
        <f t="shared" si="21"/>
        <v>0.87198806415516661</v>
      </c>
      <c r="I171" s="14">
        <f t="shared" si="22"/>
        <v>2430.7000000000116</v>
      </c>
      <c r="J171" s="26">
        <f t="shared" si="23"/>
        <v>0.14938205596219278</v>
      </c>
      <c r="K171" s="233"/>
    </row>
    <row r="172" spans="2:11" x14ac:dyDescent="0.25">
      <c r="B172" s="60" t="s">
        <v>52</v>
      </c>
      <c r="C172" s="61">
        <f>'ALM-REPR'!D92+'PIS-REPR'!B90+'AVE-REPR'!B76</f>
        <v>18224.689999999999</v>
      </c>
      <c r="D172" s="61">
        <f>'ALM-REPR'!E92+'PIS-REPR'!C90+'AVE-REPR'!C76</f>
        <v>21059.600000000009</v>
      </c>
      <c r="E172" s="61">
        <f>'ALM-REPR'!F92+'PIS-REPR'!D90+'AVE-REPR'!D76</f>
        <v>24141</v>
      </c>
      <c r="F172" s="61">
        <f>'ALM-REPR'!G92+'PIS-REPR'!E90+'AVE-REPR'!E76</f>
        <v>26519</v>
      </c>
      <c r="G172" s="62">
        <f t="shared" si="21"/>
        <v>0.75492688786711404</v>
      </c>
      <c r="H172" s="62">
        <f t="shared" si="21"/>
        <v>0.79413250876729924</v>
      </c>
      <c r="I172" s="61">
        <f t="shared" si="22"/>
        <v>2834.9100000000108</v>
      </c>
      <c r="J172" s="62">
        <f t="shared" si="23"/>
        <v>0.15555326318307805</v>
      </c>
      <c r="K172" s="232"/>
    </row>
    <row r="173" spans="2:11" x14ac:dyDescent="0.25">
      <c r="B173" s="13" t="s">
        <v>29</v>
      </c>
      <c r="C173" s="71">
        <f>'ALM-REPR'!D93+'PIS-REPR'!B91+'AVE-REPR'!B77</f>
        <v>13579.77</v>
      </c>
      <c r="D173" s="71">
        <f>'ALM-REPR'!E93+'PIS-REPR'!C91+'AVE-REPR'!C77</f>
        <v>15455.960000000008</v>
      </c>
      <c r="E173" s="71">
        <f>'ALM-REPR'!F93+'PIS-REPR'!D91+'AVE-REPR'!D77</f>
        <v>18441</v>
      </c>
      <c r="F173" s="71">
        <f>'ALM-REPR'!G93+'PIS-REPR'!E91+'AVE-REPR'!E77</f>
        <v>19734</v>
      </c>
      <c r="G173" s="74">
        <f t="shared" si="21"/>
        <v>0.73639010899625834</v>
      </c>
      <c r="H173" s="74">
        <f t="shared" si="21"/>
        <v>0.78321475625823489</v>
      </c>
      <c r="I173" s="71">
        <f t="shared" si="22"/>
        <v>1876.1900000000078</v>
      </c>
      <c r="J173" s="74">
        <f t="shared" si="23"/>
        <v>0.13816066104212421</v>
      </c>
      <c r="K173" s="91"/>
    </row>
    <row r="174" spans="2:11" x14ac:dyDescent="0.25">
      <c r="B174" s="13" t="s">
        <v>30</v>
      </c>
      <c r="C174" s="14">
        <f>'ALM-REPR'!D94+'PIS-REPR'!B92</f>
        <v>3106.0599999999995</v>
      </c>
      <c r="D174" s="14">
        <f>'ALM-REPR'!E94+'PIS-REPR'!C92</f>
        <v>3793.4600000000009</v>
      </c>
      <c r="E174" s="14">
        <f>'ALM-REPR'!F94+'PIS-REPR'!D92</f>
        <v>3113</v>
      </c>
      <c r="F174" s="14">
        <f>'ALM-REPR'!G94+'PIS-REPR'!E92</f>
        <v>3788</v>
      </c>
      <c r="G174" s="26">
        <f t="shared" si="21"/>
        <v>0.99777063925473808</v>
      </c>
      <c r="H174" s="26">
        <f t="shared" si="21"/>
        <v>1.0014413938753963</v>
      </c>
      <c r="I174" s="14">
        <f t="shared" si="22"/>
        <v>687.40000000000146</v>
      </c>
      <c r="J174" s="26">
        <f t="shared" si="23"/>
        <v>0.221309311474988</v>
      </c>
      <c r="K174" s="233"/>
    </row>
    <row r="175" spans="2:11" x14ac:dyDescent="0.25">
      <c r="B175" s="13" t="s">
        <v>31</v>
      </c>
      <c r="C175" s="14">
        <f>'ALM-REPR'!D95+'PIS-REPR'!B93</f>
        <v>868.05</v>
      </c>
      <c r="D175" s="14">
        <f>'ALM-REPR'!E95+'PIS-REPR'!C93</f>
        <v>975.33999999999992</v>
      </c>
      <c r="E175" s="14">
        <f>'ALM-REPR'!F95+'PIS-REPR'!D93</f>
        <v>868</v>
      </c>
      <c r="F175" s="14">
        <f>'ALM-REPR'!G95+'PIS-REPR'!E93</f>
        <v>1026</v>
      </c>
      <c r="G175" s="26">
        <f t="shared" si="21"/>
        <v>1.000057603686636</v>
      </c>
      <c r="H175" s="26">
        <f t="shared" si="21"/>
        <v>0.95062378167641315</v>
      </c>
      <c r="I175" s="14">
        <f t="shared" si="22"/>
        <v>107.28999999999996</v>
      </c>
      <c r="J175" s="26">
        <f t="shared" si="23"/>
        <v>0.12359887103277467</v>
      </c>
      <c r="K175" s="233"/>
    </row>
    <row r="176" spans="2:11" x14ac:dyDescent="0.25">
      <c r="B176" s="13" t="s">
        <v>32</v>
      </c>
      <c r="C176" s="14">
        <f>'ALM-REPR'!D96+'PIS-REPR'!B94</f>
        <v>1621.25</v>
      </c>
      <c r="D176" s="14">
        <f>'ALM-REPR'!E96+'PIS-REPR'!C94</f>
        <v>2465.7000000000012</v>
      </c>
      <c r="E176" s="14">
        <f>'ALM-REPR'!F96+'PIS-REPR'!D94</f>
        <v>1620</v>
      </c>
      <c r="F176" s="14">
        <f>'ALM-REPR'!G96+'PIS-REPR'!E94</f>
        <v>2365</v>
      </c>
      <c r="G176" s="26">
        <f t="shared" si="21"/>
        <v>1.0007716049382716</v>
      </c>
      <c r="H176" s="26">
        <f t="shared" si="21"/>
        <v>1.0425792811839329</v>
      </c>
      <c r="I176" s="14">
        <f t="shared" si="22"/>
        <v>844.45000000000118</v>
      </c>
      <c r="J176" s="26">
        <f t="shared" si="23"/>
        <v>0.52086353122590667</v>
      </c>
      <c r="K176" s="233"/>
    </row>
    <row r="177" spans="2:11" x14ac:dyDescent="0.25">
      <c r="B177" s="13" t="s">
        <v>33</v>
      </c>
      <c r="C177" s="14">
        <f>'ALM-REPR'!D97+'PIS-REPR'!B95+'AVE-REPR'!B78</f>
        <v>2818.83</v>
      </c>
      <c r="D177" s="14">
        <f>'ALM-REPR'!E97+'PIS-REPR'!C95+'AVE-REPR'!C78</f>
        <v>3413.13</v>
      </c>
      <c r="E177" s="14">
        <f>'ALM-REPR'!F97+'PIS-REPR'!D95+'AVE-REPR'!D78</f>
        <v>3722</v>
      </c>
      <c r="F177" s="14">
        <f>'ALM-REPR'!G97+'PIS-REPR'!E95+'AVE-REPR'!E78</f>
        <v>4743</v>
      </c>
      <c r="G177" s="26">
        <f t="shared" si="21"/>
        <v>0.75734282643739925</v>
      </c>
      <c r="H177" s="26">
        <f t="shared" si="21"/>
        <v>0.71961416824794433</v>
      </c>
      <c r="I177" s="14">
        <f t="shared" si="22"/>
        <v>594.30000000000018</v>
      </c>
      <c r="J177" s="26">
        <f t="shared" si="23"/>
        <v>0.21083215376592412</v>
      </c>
      <c r="K177" s="233"/>
    </row>
    <row r="178" spans="2:11" x14ac:dyDescent="0.25">
      <c r="B178" s="60" t="s">
        <v>53</v>
      </c>
      <c r="C178" s="61">
        <f>'ALM-REPR'!D98+'PIS-REPR'!B96+'AVE-REPR'!B72</f>
        <v>447.51</v>
      </c>
      <c r="D178" s="61">
        <f>'ALM-REPR'!E98+'PIS-REPR'!C96+'AVE-REPR'!C72</f>
        <v>612.49999999999989</v>
      </c>
      <c r="E178" s="61">
        <f>'ALM-REPR'!F98+'PIS-REPR'!D96+'AVE-REPR'!D72</f>
        <v>1077</v>
      </c>
      <c r="F178" s="61">
        <f>'ALM-REPR'!G98+'PIS-REPR'!E96+'AVE-REPR'!E72</f>
        <v>1391</v>
      </c>
      <c r="G178" s="62">
        <f t="shared" si="21"/>
        <v>0.41551532033426181</v>
      </c>
      <c r="H178" s="62">
        <f t="shared" si="21"/>
        <v>0.44033069734004304</v>
      </c>
      <c r="I178" s="61">
        <f t="shared" si="22"/>
        <v>164.9899999999999</v>
      </c>
      <c r="J178" s="62">
        <f t="shared" si="23"/>
        <v>0.36868449867042052</v>
      </c>
      <c r="K178" s="232"/>
    </row>
    <row r="179" spans="2:11" x14ac:dyDescent="0.25">
      <c r="B179" s="13" t="s">
        <v>34</v>
      </c>
      <c r="C179" s="71">
        <f>'ALM-REPR'!D99+'PIS-REPR'!B97</f>
        <v>12.15</v>
      </c>
      <c r="D179" s="71">
        <f>'ALM-REPR'!E99+'PIS-REPR'!C97</f>
        <v>19.46</v>
      </c>
      <c r="E179" s="71">
        <f>'ALM-REPR'!F99+'PIS-REPR'!D97</f>
        <v>12</v>
      </c>
      <c r="F179" s="71">
        <f>'ALM-REPR'!G99+'PIS-REPR'!E97</f>
        <v>19</v>
      </c>
      <c r="G179" s="74">
        <f t="shared" si="21"/>
        <v>1.0125</v>
      </c>
      <c r="H179" s="74">
        <f t="shared" si="21"/>
        <v>1.0242105263157895</v>
      </c>
      <c r="I179" s="71">
        <f t="shared" si="22"/>
        <v>7.3100000000000005</v>
      </c>
      <c r="J179" s="74">
        <f t="shared" si="23"/>
        <v>0.60164609053497942</v>
      </c>
      <c r="K179" s="91"/>
    </row>
    <row r="180" spans="2:11" x14ac:dyDescent="0.25">
      <c r="B180" s="13" t="s">
        <v>35</v>
      </c>
      <c r="C180" s="71">
        <f>'ALM-REPR'!D100+'PIS-REPR'!B98</f>
        <v>13.229999999999999</v>
      </c>
      <c r="D180" s="71">
        <f>'ALM-REPR'!E100+'PIS-REPR'!C98</f>
        <v>19.720000000000002</v>
      </c>
      <c r="E180" s="71">
        <f>'ALM-REPR'!F100+'PIS-REPR'!D98</f>
        <v>17</v>
      </c>
      <c r="F180" s="71">
        <f>'ALM-REPR'!G100+'PIS-REPR'!E98</f>
        <v>17</v>
      </c>
      <c r="G180" s="74">
        <f t="shared" si="21"/>
        <v>0.77823529411764703</v>
      </c>
      <c r="H180" s="74">
        <f t="shared" si="21"/>
        <v>1.1600000000000001</v>
      </c>
      <c r="I180" s="71">
        <f t="shared" si="22"/>
        <v>6.4900000000000038</v>
      </c>
      <c r="J180" s="74">
        <f t="shared" si="23"/>
        <v>0.49055177626606228</v>
      </c>
      <c r="K180" s="91"/>
    </row>
    <row r="181" spans="2:11" x14ac:dyDescent="0.25">
      <c r="B181" s="13" t="s">
        <v>36</v>
      </c>
      <c r="C181" s="14">
        <f>'ALM-REPR'!D101+'PIS-REPR'!B99+'AVE-REPR'!B73</f>
        <v>32.39</v>
      </c>
      <c r="D181" s="14">
        <f>'ALM-REPR'!E101+'PIS-REPR'!C99+'AVE-REPR'!C73</f>
        <v>35.910000000000004</v>
      </c>
      <c r="E181" s="14">
        <f>'ALM-REPR'!F101+'PIS-REPR'!D99+'AVE-REPR'!D73</f>
        <v>32</v>
      </c>
      <c r="F181" s="14">
        <f>'ALM-REPR'!G101+'PIS-REPR'!E99+'AVE-REPR'!E73</f>
        <v>35</v>
      </c>
      <c r="G181" s="26">
        <f t="shared" si="21"/>
        <v>1.0121875</v>
      </c>
      <c r="H181" s="26">
        <f t="shared" si="21"/>
        <v>1.026</v>
      </c>
      <c r="I181" s="14">
        <f>IFERROR(D181-C181,"")</f>
        <v>3.5200000000000031</v>
      </c>
      <c r="J181" s="26">
        <f>IFERROR((D181/C181)-1,"")</f>
        <v>0.1086755171349183</v>
      </c>
      <c r="K181" s="233"/>
    </row>
    <row r="182" spans="2:11" x14ac:dyDescent="0.25">
      <c r="B182" s="13" t="s">
        <v>37</v>
      </c>
      <c r="C182" s="14">
        <f>'ALM-REPR'!D102+'PIS-REPR'!B100</f>
        <v>36.519999999999996</v>
      </c>
      <c r="D182" s="14">
        <f>'ALM-REPR'!E102+'PIS-REPR'!C100</f>
        <v>68.5</v>
      </c>
      <c r="E182" s="14">
        <f>'ALM-REPR'!F102+'PIS-REPR'!D100</f>
        <v>36</v>
      </c>
      <c r="F182" s="14">
        <f>'ALM-REPR'!G102+'PIS-REPR'!E100</f>
        <v>67</v>
      </c>
      <c r="G182" s="26">
        <f t="shared" si="21"/>
        <v>1.0144444444444443</v>
      </c>
      <c r="H182" s="26">
        <f t="shared" si="21"/>
        <v>1.0223880597014925</v>
      </c>
      <c r="I182" s="14">
        <f t="shared" si="22"/>
        <v>31.980000000000004</v>
      </c>
      <c r="J182" s="26">
        <f t="shared" si="23"/>
        <v>0.87568455640744824</v>
      </c>
      <c r="K182" s="233"/>
    </row>
    <row r="183" spans="2:11" x14ac:dyDescent="0.25">
      <c r="B183" s="13" t="s">
        <v>38</v>
      </c>
      <c r="C183" s="14">
        <f>'ALM-REPR'!D103+'PIS-REPR'!B101</f>
        <v>70.34</v>
      </c>
      <c r="D183" s="14">
        <f>'ALM-REPR'!E103+'PIS-REPR'!C101</f>
        <v>78.77</v>
      </c>
      <c r="E183" s="14">
        <f>'ALM-REPR'!F103+'PIS-REPR'!D101</f>
        <v>192</v>
      </c>
      <c r="F183" s="14">
        <f>'ALM-REPR'!G103+'PIS-REPR'!E101</f>
        <v>239</v>
      </c>
      <c r="G183" s="26">
        <f t="shared" si="21"/>
        <v>0.3663541666666667</v>
      </c>
      <c r="H183" s="26">
        <f t="shared" si="21"/>
        <v>0.329581589958159</v>
      </c>
      <c r="I183" s="14">
        <f t="shared" si="22"/>
        <v>8.4299999999999926</v>
      </c>
      <c r="J183" s="26">
        <f t="shared" si="23"/>
        <v>0.11984646005117994</v>
      </c>
      <c r="K183" s="233"/>
    </row>
    <row r="184" spans="2:11" x14ac:dyDescent="0.25">
      <c r="B184" s="13" t="s">
        <v>39</v>
      </c>
      <c r="C184" s="14">
        <f>'ALM-REPR'!D104+'PIS-REPR'!B102</f>
        <v>2.8600000000000003</v>
      </c>
      <c r="D184" s="14">
        <f>'ALM-REPR'!E104+'PIS-REPR'!C102</f>
        <v>2.8600000000000003</v>
      </c>
      <c r="E184" s="14">
        <f>'ALM-REPR'!F104+'PIS-REPR'!D102</f>
        <v>3</v>
      </c>
      <c r="F184" s="14">
        <f>'ALM-REPR'!G104+'PIS-REPR'!E102</f>
        <v>7</v>
      </c>
      <c r="G184" s="26">
        <f t="shared" si="21"/>
        <v>0.95333333333333348</v>
      </c>
      <c r="H184" s="26">
        <f t="shared" si="21"/>
        <v>0.40857142857142864</v>
      </c>
      <c r="I184" s="14">
        <f t="shared" si="22"/>
        <v>0</v>
      </c>
      <c r="J184" s="26">
        <f t="shared" si="23"/>
        <v>0</v>
      </c>
      <c r="K184" s="233"/>
    </row>
    <row r="185" spans="2:11" x14ac:dyDescent="0.25">
      <c r="B185" s="13" t="s">
        <v>40</v>
      </c>
      <c r="C185" s="14">
        <f>'ALM-REPR'!D105+'PIS-REPR'!B103</f>
        <v>285.77</v>
      </c>
      <c r="D185" s="14">
        <f>'ALM-REPR'!E105+'PIS-REPR'!C103</f>
        <v>295.52</v>
      </c>
      <c r="E185" s="14">
        <f>'ALM-REPR'!F105+'PIS-REPR'!D103</f>
        <v>682</v>
      </c>
      <c r="F185" s="14">
        <f>'ALM-REPR'!G105+'PIS-REPR'!E103</f>
        <v>920</v>
      </c>
      <c r="G185" s="26">
        <f t="shared" si="21"/>
        <v>0.41901759530791788</v>
      </c>
      <c r="H185" s="26">
        <f t="shared" si="21"/>
        <v>0.32121739130434779</v>
      </c>
      <c r="I185" s="14">
        <f t="shared" si="22"/>
        <v>9.75</v>
      </c>
      <c r="J185" s="26">
        <f t="shared" si="23"/>
        <v>3.4118346922350051E-2</v>
      </c>
      <c r="K185" s="233"/>
    </row>
    <row r="186" spans="2:11" x14ac:dyDescent="0.25">
      <c r="B186" s="13" t="s">
        <v>41</v>
      </c>
      <c r="C186" s="14">
        <f>'ALM-REPR'!D106+'PIS-REPR'!B104+'AVE-REPR'!B74</f>
        <v>350.49</v>
      </c>
      <c r="D186" s="14">
        <f>'ALM-REPR'!E106+'PIS-REPR'!C104+'AVE-REPR'!C74</f>
        <v>525.68999999999994</v>
      </c>
      <c r="E186" s="14">
        <f>'ALM-REPR'!F106+'PIS-REPR'!D104+'AVE-REPR'!D74</f>
        <v>988</v>
      </c>
      <c r="F186" s="14">
        <f>'ALM-REPR'!G106+'PIS-REPR'!E104+'AVE-REPR'!E74</f>
        <v>1427</v>
      </c>
      <c r="G186" s="26">
        <f t="shared" si="21"/>
        <v>0.35474696356275304</v>
      </c>
      <c r="H186" s="26">
        <f t="shared" si="21"/>
        <v>0.36838822704975471</v>
      </c>
      <c r="I186" s="14">
        <f t="shared" si="22"/>
        <v>175.19999999999993</v>
      </c>
      <c r="J186" s="26">
        <f t="shared" si="23"/>
        <v>0.49987160831978072</v>
      </c>
      <c r="K186" s="233"/>
    </row>
    <row r="187" spans="2:11" x14ac:dyDescent="0.25">
      <c r="B187" s="13" t="s">
        <v>42</v>
      </c>
      <c r="C187" s="14">
        <f>'ALM-REPR'!D107+'PIS-REPR'!B105+'AVE-REPR'!B75</f>
        <v>24.76</v>
      </c>
      <c r="D187" s="14">
        <f>'ALM-REPR'!E107+'PIS-REPR'!C105+'AVE-REPR'!C75</f>
        <v>30.580000000000002</v>
      </c>
      <c r="E187" s="14">
        <f>'ALM-REPR'!F107+'PIS-REPR'!D105+'AVE-REPR'!D75</f>
        <v>334</v>
      </c>
      <c r="F187" s="14">
        <f>'ALM-REPR'!G107+'PIS-REPR'!E105+'AVE-REPR'!E75</f>
        <v>400</v>
      </c>
      <c r="G187" s="26">
        <f t="shared" si="21"/>
        <v>7.4131736526946115E-2</v>
      </c>
      <c r="H187" s="26">
        <f t="shared" si="21"/>
        <v>7.6450000000000004E-2</v>
      </c>
      <c r="I187" s="14">
        <f t="shared" si="22"/>
        <v>5.82</v>
      </c>
      <c r="J187" s="26">
        <f t="shared" si="23"/>
        <v>0.23505654281098542</v>
      </c>
      <c r="K187" s="233"/>
    </row>
    <row r="188" spans="2:11" x14ac:dyDescent="0.25">
      <c r="B188" s="60" t="s">
        <v>54</v>
      </c>
      <c r="C188" s="61">
        <f>'ALM-REPR'!D108+'PIS-REPR'!B106+'AVE-REPR'!B84</f>
        <v>5479.4000000000005</v>
      </c>
      <c r="D188" s="61">
        <f>'ALM-REPR'!E108+'PIS-REPR'!C106+'AVE-REPR'!C84</f>
        <v>6939.9399999999987</v>
      </c>
      <c r="E188" s="61">
        <f>'ALM-REPR'!F108+'PIS-REPR'!D106+'AVE-REPR'!D84</f>
        <v>5389</v>
      </c>
      <c r="F188" s="61">
        <f>'ALM-REPR'!G108+'PIS-REPR'!E106+'AVE-REPR'!E84</f>
        <v>6720</v>
      </c>
      <c r="G188" s="62">
        <f t="shared" si="21"/>
        <v>1.0167749118574876</v>
      </c>
      <c r="H188" s="62">
        <f t="shared" si="21"/>
        <v>1.0327291666666665</v>
      </c>
      <c r="I188" s="61">
        <f t="shared" si="22"/>
        <v>1460.5399999999981</v>
      </c>
      <c r="J188" s="62">
        <f t="shared" si="23"/>
        <v>0.26655108223528079</v>
      </c>
      <c r="K188" s="232"/>
    </row>
    <row r="189" spans="2:11" x14ac:dyDescent="0.25">
      <c r="B189" s="13" t="s">
        <v>43</v>
      </c>
      <c r="C189" s="14">
        <f>'ALM-REPR'!D109+'PIS-REPR'!B107</f>
        <v>4069.68</v>
      </c>
      <c r="D189" s="14">
        <f>'ALM-REPR'!E109+'PIS-REPR'!C107</f>
        <v>5223.1499999999996</v>
      </c>
      <c r="E189" s="14">
        <f>'ALM-REPR'!F109+'PIS-REPR'!D107</f>
        <v>4641</v>
      </c>
      <c r="F189" s="14">
        <f>'ALM-REPR'!G109+'PIS-REPR'!E107</f>
        <v>5978</v>
      </c>
      <c r="G189" s="26">
        <f t="shared" si="21"/>
        <v>0.87689722042663221</v>
      </c>
      <c r="H189" s="26">
        <f t="shared" si="21"/>
        <v>0.87372867179658742</v>
      </c>
      <c r="I189" s="14">
        <f t="shared" si="22"/>
        <v>1153.4699999999998</v>
      </c>
      <c r="J189" s="26">
        <f t="shared" si="23"/>
        <v>0.28343014684201218</v>
      </c>
      <c r="K189" s="233"/>
    </row>
    <row r="190" spans="2:11" x14ac:dyDescent="0.25">
      <c r="B190" s="13" t="s">
        <v>44</v>
      </c>
      <c r="C190" s="14">
        <f>'ALM-REPR'!D110+'PIS-REPR'!B108+'AVE-REPR'!B85</f>
        <v>1904.99</v>
      </c>
      <c r="D190" s="14">
        <f>'ALM-REPR'!E110+'PIS-REPR'!C108+'AVE-REPR'!C85</f>
        <v>2279.9599999999996</v>
      </c>
      <c r="E190" s="14">
        <f>'ALM-REPR'!F110+'PIS-REPR'!D108+'AVE-REPR'!D85</f>
        <v>2253</v>
      </c>
      <c r="F190" s="14">
        <f>'ALM-REPR'!G110+'PIS-REPR'!E108+'AVE-REPR'!E85</f>
        <v>2785</v>
      </c>
      <c r="G190" s="26">
        <f t="shared" si="21"/>
        <v>0.84553484243231247</v>
      </c>
      <c r="H190" s="26">
        <f t="shared" si="21"/>
        <v>0.81865709156193878</v>
      </c>
      <c r="I190" s="14">
        <f t="shared" si="22"/>
        <v>374.96999999999957</v>
      </c>
      <c r="J190" s="26">
        <f t="shared" si="23"/>
        <v>0.19683567892744813</v>
      </c>
      <c r="K190" s="233"/>
    </row>
    <row r="191" spans="2:11" x14ac:dyDescent="0.25">
      <c r="B191" s="60" t="s">
        <v>75</v>
      </c>
      <c r="C191" s="61">
        <f>'ALM-REPR'!D111+'PIS-REPR'!B109</f>
        <v>795.38000000000011</v>
      </c>
      <c r="D191" s="61">
        <f>'ALM-REPR'!E111+'PIS-REPR'!C109</f>
        <v>891.37000000000012</v>
      </c>
      <c r="E191" s="61">
        <f>'ALM-REPR'!F111+'PIS-REPR'!D109</f>
        <v>658</v>
      </c>
      <c r="F191" s="61">
        <f>'ALM-REPR'!G111+'PIS-REPR'!E109</f>
        <v>663</v>
      </c>
      <c r="G191" s="62">
        <f t="shared" si="21"/>
        <v>1.2087841945288755</v>
      </c>
      <c r="H191" s="62">
        <f t="shared" si="21"/>
        <v>1.3444494720965312</v>
      </c>
      <c r="I191" s="61">
        <f t="shared" si="22"/>
        <v>95.990000000000009</v>
      </c>
      <c r="J191" s="62">
        <f t="shared" si="23"/>
        <v>0.12068445271442574</v>
      </c>
      <c r="K191" s="232"/>
    </row>
    <row r="192" spans="2:11" x14ac:dyDescent="0.25">
      <c r="B192" s="13" t="s">
        <v>78</v>
      </c>
      <c r="C192" s="71">
        <f>'ALM-REPR'!D112+'PIS-REPR'!B110</f>
        <v>541.33000000000004</v>
      </c>
      <c r="D192" s="71">
        <f>'ALM-REPR'!E112+'PIS-REPR'!C110</f>
        <v>623.55000000000018</v>
      </c>
      <c r="E192" s="71">
        <f>'ALM-REPR'!F112+'PIS-REPR'!D110</f>
        <v>315</v>
      </c>
      <c r="F192" s="71">
        <f>'ALM-REPR'!G112+'PIS-REPR'!E110</f>
        <v>345</v>
      </c>
      <c r="G192" s="74">
        <f t="shared" si="21"/>
        <v>1.7185079365079365</v>
      </c>
      <c r="H192" s="74">
        <f t="shared" si="21"/>
        <v>1.8073913043478267</v>
      </c>
      <c r="I192" s="71">
        <f t="shared" si="22"/>
        <v>82.220000000000141</v>
      </c>
      <c r="J192" s="74">
        <f t="shared" si="23"/>
        <v>0.15188517170672267</v>
      </c>
      <c r="K192" s="91"/>
    </row>
    <row r="193" spans="2:11" x14ac:dyDescent="0.25">
      <c r="B193" s="60" t="s">
        <v>79</v>
      </c>
      <c r="C193" s="61">
        <f>'ALM-REPR'!D113</f>
        <v>0</v>
      </c>
      <c r="D193" s="61">
        <f>'ALM-REPR'!E113</f>
        <v>0</v>
      </c>
      <c r="E193" s="61">
        <f>'ALM-REPR'!F113</f>
        <v>23</v>
      </c>
      <c r="F193" s="61">
        <f>'ALM-REPR'!G113</f>
        <v>59</v>
      </c>
      <c r="G193" s="62">
        <f t="shared" si="21"/>
        <v>0</v>
      </c>
      <c r="H193" s="62">
        <f t="shared" si="21"/>
        <v>0</v>
      </c>
      <c r="I193" s="61">
        <f t="shared" si="22"/>
        <v>0</v>
      </c>
      <c r="J193" s="62" t="str">
        <f t="shared" si="23"/>
        <v/>
      </c>
      <c r="K193" s="232"/>
    </row>
    <row r="194" spans="2:11" x14ac:dyDescent="0.25">
      <c r="B194" s="13" t="s">
        <v>82</v>
      </c>
      <c r="C194" s="71">
        <f>'ALM-REPR'!D114</f>
        <v>0</v>
      </c>
      <c r="D194" s="71">
        <f>'ALM-REPR'!E114</f>
        <v>0</v>
      </c>
      <c r="E194" s="71">
        <f>'ALM-REPR'!F114</f>
        <v>13</v>
      </c>
      <c r="F194" s="71">
        <f>'ALM-REPR'!G114</f>
        <v>46</v>
      </c>
      <c r="G194" s="74">
        <f t="shared" si="21"/>
        <v>0</v>
      </c>
      <c r="H194" s="74">
        <f t="shared" si="21"/>
        <v>0</v>
      </c>
      <c r="I194" s="71">
        <f t="shared" si="22"/>
        <v>0</v>
      </c>
      <c r="J194" s="74" t="str">
        <f t="shared" si="23"/>
        <v/>
      </c>
      <c r="K194" s="91"/>
    </row>
    <row r="195" spans="2:11" x14ac:dyDescent="0.25">
      <c r="B195" s="6" t="s">
        <v>84</v>
      </c>
      <c r="C195" s="71">
        <f>'ALM-REPR'!D115</f>
        <v>0</v>
      </c>
      <c r="D195" s="71">
        <f>'ALM-REPR'!E115</f>
        <v>0</v>
      </c>
      <c r="E195" s="71">
        <f>'ALM-REPR'!F115</f>
        <v>10</v>
      </c>
      <c r="F195" s="71">
        <f>'ALM-REPR'!G115</f>
        <v>13</v>
      </c>
      <c r="G195" s="74">
        <f t="shared" si="21"/>
        <v>0</v>
      </c>
      <c r="H195" s="74">
        <f t="shared" si="21"/>
        <v>0</v>
      </c>
      <c r="I195" s="71">
        <f t="shared" si="22"/>
        <v>0</v>
      </c>
      <c r="J195" s="74" t="str">
        <f t="shared" si="23"/>
        <v/>
      </c>
      <c r="K195" s="91"/>
    </row>
    <row r="196" spans="2:11" x14ac:dyDescent="0.25">
      <c r="B196" s="60" t="s">
        <v>55</v>
      </c>
      <c r="C196" s="61">
        <f>'ALM-REPR'!D116+'PIS-REPR'!B110+'AVE-REPR'!B86</f>
        <v>668.34999999999991</v>
      </c>
      <c r="D196" s="61">
        <f>'ALM-REPR'!E116+'PIS-REPR'!C110+'AVE-REPR'!C86</f>
        <v>791.5</v>
      </c>
      <c r="E196" s="61">
        <f>'ALM-REPR'!F116+'PIS-REPR'!D110+'AVE-REPR'!D86</f>
        <v>923</v>
      </c>
      <c r="F196" s="61">
        <f>'ALM-REPR'!G116+'PIS-REPR'!E110+'AVE-REPR'!E86</f>
        <v>1165</v>
      </c>
      <c r="G196" s="62">
        <f t="shared" si="21"/>
        <v>0.72410617551462608</v>
      </c>
      <c r="H196" s="62">
        <f t="shared" si="21"/>
        <v>0.67939914163090132</v>
      </c>
      <c r="I196" s="61">
        <f t="shared" si="22"/>
        <v>123.15000000000009</v>
      </c>
      <c r="J196" s="62">
        <f t="shared" si="23"/>
        <v>0.18425974414603141</v>
      </c>
      <c r="K196" s="232"/>
    </row>
    <row r="197" spans="2:11" x14ac:dyDescent="0.25">
      <c r="B197" s="13" t="s">
        <v>45</v>
      </c>
      <c r="C197" s="71">
        <f>'ALM-REPR'!D117+'PIS-REPR'!B111+'AVE-REPR'!B87</f>
        <v>668.34999999999991</v>
      </c>
      <c r="D197" s="71">
        <f>'ALM-REPR'!E117+'PIS-REPR'!C111+'AVE-REPR'!C87</f>
        <v>792.3</v>
      </c>
      <c r="E197" s="71">
        <f>'ALM-REPR'!F117+'PIS-REPR'!D111+'AVE-REPR'!D87</f>
        <v>923</v>
      </c>
      <c r="F197" s="71">
        <f>'ALM-REPR'!G117+'PIS-REPR'!E111+'AVE-REPR'!E87</f>
        <v>1165</v>
      </c>
      <c r="G197" s="74">
        <f t="shared" si="21"/>
        <v>0.72410617551462608</v>
      </c>
      <c r="H197" s="74">
        <f t="shared" si="21"/>
        <v>0.68008583690987123</v>
      </c>
      <c r="I197" s="71">
        <f t="shared" si="22"/>
        <v>123.95000000000005</v>
      </c>
      <c r="J197" s="74">
        <f t="shared" si="23"/>
        <v>0.18545672177751182</v>
      </c>
      <c r="K197" s="91"/>
    </row>
    <row r="198" spans="2:11" x14ac:dyDescent="0.25">
      <c r="B198" s="60" t="s">
        <v>80</v>
      </c>
      <c r="C198" s="61">
        <f>'ALM-REPR'!D118+'PIS-REPR'!B112</f>
        <v>138.24</v>
      </c>
      <c r="D198" s="61">
        <f>'ALM-REPR'!E118+'PIS-REPR'!C112</f>
        <v>181.65000000000003</v>
      </c>
      <c r="E198" s="61">
        <f>'ALM-REPR'!F118+'PIS-REPR'!D112</f>
        <v>1082</v>
      </c>
      <c r="F198" s="61">
        <f>'ALM-REPR'!G118+'PIS-REPR'!E112</f>
        <v>1465</v>
      </c>
      <c r="G198" s="62">
        <f t="shared" si="21"/>
        <v>0.12776340110905732</v>
      </c>
      <c r="H198" s="62">
        <f t="shared" si="21"/>
        <v>0.12399317406143347</v>
      </c>
      <c r="I198" s="61">
        <f t="shared" si="22"/>
        <v>43.410000000000025</v>
      </c>
      <c r="J198" s="62">
        <f t="shared" si="23"/>
        <v>0.31401909722222232</v>
      </c>
      <c r="K198" s="232"/>
    </row>
    <row r="199" spans="2:11" x14ac:dyDescent="0.25">
      <c r="B199" s="13" t="s">
        <v>81</v>
      </c>
      <c r="C199" s="71">
        <f>'ALM-REPR'!D119+'PIS-REPR'!B113</f>
        <v>138.24</v>
      </c>
      <c r="D199" s="71">
        <f>'ALM-REPR'!E119+'PIS-REPR'!C113</f>
        <v>181.65000000000003</v>
      </c>
      <c r="E199" s="71">
        <f>'ALM-REPR'!F119+'PIS-REPR'!D113</f>
        <v>1082</v>
      </c>
      <c r="F199" s="71">
        <f>'ALM-REPR'!G119+'PIS-REPR'!E113</f>
        <v>1465</v>
      </c>
      <c r="G199" s="74">
        <f t="shared" si="21"/>
        <v>0.12776340110905732</v>
      </c>
      <c r="H199" s="74">
        <f t="shared" si="21"/>
        <v>0.12399317406143347</v>
      </c>
      <c r="I199" s="71">
        <f t="shared" si="22"/>
        <v>43.410000000000025</v>
      </c>
      <c r="J199" s="74">
        <f t="shared" si="23"/>
        <v>0.31401909722222232</v>
      </c>
      <c r="K199" s="91"/>
    </row>
    <row r="200" spans="2:11" x14ac:dyDescent="0.25">
      <c r="B200" s="60" t="s">
        <v>56</v>
      </c>
      <c r="C200" s="61">
        <f>'ALM-REPR'!D120+'PIS-REPR'!B114</f>
        <v>6905.7599999999984</v>
      </c>
      <c r="D200" s="61">
        <f>'ALM-REPR'!E120+'PIS-REPR'!C114</f>
        <v>7100.0999999999958</v>
      </c>
      <c r="E200" s="61">
        <f>'ALM-REPR'!F120+'PIS-REPR'!D114</f>
        <v>7410</v>
      </c>
      <c r="F200" s="61">
        <f>'ALM-REPR'!G120+'PIS-REPR'!E114</f>
        <v>7610</v>
      </c>
      <c r="G200" s="62">
        <f t="shared" si="21"/>
        <v>0.93195141700404838</v>
      </c>
      <c r="H200" s="62">
        <f t="shared" si="21"/>
        <v>0.93299605781865913</v>
      </c>
      <c r="I200" s="61">
        <f t="shared" si="22"/>
        <v>194.33999999999742</v>
      </c>
      <c r="J200" s="62">
        <f t="shared" si="23"/>
        <v>2.814172516855451E-2</v>
      </c>
      <c r="K200" s="232"/>
    </row>
    <row r="201" spans="2:11" x14ac:dyDescent="0.25">
      <c r="B201" s="13" t="s">
        <v>46</v>
      </c>
      <c r="C201" s="71">
        <f>'ALM-REPR'!D121+'PIS-REPR'!B115</f>
        <v>6905.7599999999984</v>
      </c>
      <c r="D201" s="71">
        <f>'ALM-REPR'!E121+'PIS-REPR'!C115</f>
        <v>7100.0999999999958</v>
      </c>
      <c r="E201" s="71">
        <f>'ALM-REPR'!F121+'PIS-REPR'!D115</f>
        <v>7410</v>
      </c>
      <c r="F201" s="71">
        <f>'ALM-REPR'!G121+'PIS-REPR'!E115</f>
        <v>7610</v>
      </c>
      <c r="G201" s="74">
        <f t="shared" si="21"/>
        <v>0.93195141700404838</v>
      </c>
      <c r="H201" s="74">
        <f t="shared" si="21"/>
        <v>0.93299605781865913</v>
      </c>
      <c r="I201" s="71">
        <f t="shared" si="22"/>
        <v>194.33999999999742</v>
      </c>
      <c r="J201" s="74">
        <f t="shared" si="23"/>
        <v>2.814172516855451E-2</v>
      </c>
      <c r="K201" s="91"/>
    </row>
    <row r="202" spans="2:11" x14ac:dyDescent="0.25">
      <c r="B202" s="60" t="s">
        <v>57</v>
      </c>
      <c r="C202" s="61">
        <f>'ALM-REPR'!D122+'PIS-REPR'!B116+'AVE-REPR'!B88</f>
        <v>1533.09</v>
      </c>
      <c r="D202" s="61">
        <f>'ALM-REPR'!E122+'PIS-REPR'!C116+'AVE-REPR'!C88</f>
        <v>1748.389999999999</v>
      </c>
      <c r="E202" s="61">
        <f>'ALM-REPR'!F122+'PIS-REPR'!D116+'AVE-REPR'!D88</f>
        <v>1967</v>
      </c>
      <c r="F202" s="61">
        <f>'ALM-REPR'!G122+'PIS-REPR'!E116+'AVE-REPR'!E88</f>
        <v>2262</v>
      </c>
      <c r="G202" s="62">
        <f t="shared" si="21"/>
        <v>0.77940518556176919</v>
      </c>
      <c r="H202" s="62">
        <f t="shared" si="21"/>
        <v>0.77293987621573779</v>
      </c>
      <c r="I202" s="61">
        <f t="shared" si="22"/>
        <v>215.29999999999905</v>
      </c>
      <c r="J202" s="62">
        <f t="shared" si="23"/>
        <v>0.14043532995453556</v>
      </c>
      <c r="K202" s="232"/>
    </row>
    <row r="203" spans="2:11" x14ac:dyDescent="0.25">
      <c r="B203" s="13" t="s">
        <v>47</v>
      </c>
      <c r="C203" s="71">
        <f>'ALM-REPR'!D123+'PIS-REPR'!B117+'AVE-REPR'!B89</f>
        <v>1533.09</v>
      </c>
      <c r="D203" s="71">
        <f>'ALM-REPR'!E123+'PIS-REPR'!C117+'AVE-REPR'!C89</f>
        <v>1748.389999999999</v>
      </c>
      <c r="E203" s="71">
        <f>'ALM-REPR'!F123+'PIS-REPR'!D117+'AVE-REPR'!D89</f>
        <v>1967</v>
      </c>
      <c r="F203" s="71">
        <f>'ALM-REPR'!G123+'PIS-REPR'!E117+'AVE-REPR'!E89</f>
        <v>2262</v>
      </c>
      <c r="G203" s="74">
        <f t="shared" si="21"/>
        <v>0.77940518556176919</v>
      </c>
      <c r="H203" s="74">
        <f t="shared" si="21"/>
        <v>0.77293987621573779</v>
      </c>
      <c r="I203" s="71">
        <f t="shared" si="22"/>
        <v>215.29999999999905</v>
      </c>
      <c r="J203" s="74">
        <f t="shared" si="23"/>
        <v>0.14043532995453556</v>
      </c>
      <c r="K203" s="91"/>
    </row>
    <row r="204" spans="2:11" x14ac:dyDescent="0.25">
      <c r="B204" s="63" t="s">
        <v>59</v>
      </c>
      <c r="C204" s="64">
        <f>'ALM-REPR'!D124+'PIS-REPR'!B118+'AVE-REPR'!B90</f>
        <v>93551.110000000015</v>
      </c>
      <c r="D204" s="64">
        <f>'ALM-REPR'!E124+'PIS-REPR'!C118+'AVE-REPR'!C90</f>
        <v>118119.07</v>
      </c>
      <c r="E204" s="64">
        <f>'ALM-REPR'!F124+'PIS-REPR'!D118+'AVE-REPR'!D90</f>
        <v>125190</v>
      </c>
      <c r="F204" s="64">
        <f>'ALM-REPR'!G124+'PIS-REPR'!E118+'AVE-REPR'!E90</f>
        <v>142199</v>
      </c>
      <c r="G204" s="65">
        <f t="shared" si="21"/>
        <v>0.7472730250019971</v>
      </c>
      <c r="H204" s="65">
        <f t="shared" si="21"/>
        <v>0.83066034219649931</v>
      </c>
      <c r="I204" s="64">
        <f t="shared" si="22"/>
        <v>24567.959999999992</v>
      </c>
      <c r="J204" s="65">
        <f t="shared" si="23"/>
        <v>0.2626153767710504</v>
      </c>
      <c r="K204" s="234"/>
    </row>
    <row r="206" spans="2:11" x14ac:dyDescent="0.25">
      <c r="C206" s="162"/>
      <c r="D206" s="162"/>
      <c r="E206" s="162"/>
      <c r="F206" s="162"/>
      <c r="G206" s="165"/>
      <c r="H206" s="165"/>
      <c r="I206" s="162"/>
      <c r="J206" s="165"/>
      <c r="K206" s="165"/>
    </row>
    <row r="208" spans="2:11" x14ac:dyDescent="0.25">
      <c r="E208" s="162"/>
    </row>
  </sheetData>
  <sortState ref="M120:P136">
    <sortCondition descending="1" ref="O120:O136"/>
  </sortState>
  <mergeCells count="15">
    <mergeCell ref="B4:B5"/>
    <mergeCell ref="C4:D4"/>
    <mergeCell ref="E4:F4"/>
    <mergeCell ref="G4:H4"/>
    <mergeCell ref="I4:J4"/>
    <mergeCell ref="B76:B77"/>
    <mergeCell ref="C76:D76"/>
    <mergeCell ref="E76:F76"/>
    <mergeCell ref="G76:H76"/>
    <mergeCell ref="I76:J76"/>
    <mergeCell ref="B148:B149"/>
    <mergeCell ref="C148:D148"/>
    <mergeCell ref="E148:F148"/>
    <mergeCell ref="G148:H148"/>
    <mergeCell ref="I148:J148"/>
  </mergeCells>
  <conditionalFormatting sqref="I78:K145">
    <cfRule type="cellIs" dxfId="28" priority="21" operator="lessThan">
      <formula>0</formula>
    </cfRule>
  </conditionalFormatting>
  <conditionalFormatting sqref="I150:K204">
    <cfRule type="cellIs" dxfId="27" priority="20" operator="lessThan">
      <formula>0</formula>
    </cfRule>
  </conditionalFormatting>
  <conditionalFormatting sqref="V78:V81">
    <cfRule type="cellIs" dxfId="26" priority="19" operator="lessThan">
      <formula>0</formula>
    </cfRule>
  </conditionalFormatting>
  <conditionalFormatting sqref="I69:K69">
    <cfRule type="cellIs" dxfId="25" priority="2" operator="lessThan">
      <formula>0</formula>
    </cfRule>
  </conditionalFormatting>
  <conditionalFormatting sqref="V6:V11">
    <cfRule type="cellIs" dxfId="24" priority="1" operator="lessThan">
      <formula>0</formula>
    </cfRule>
  </conditionalFormatting>
  <conditionalFormatting sqref="I6:K14 I16:K18 I20:K20 I22:K24 I26:K29 I31:K35 I37:K37 I39:K47 I49:K50 I52:K55 I57:K57 I59:K60 I62:K62 I64:K64 I66:K66 I68:K68 I70:K73">
    <cfRule type="cellIs" dxfId="23" priority="18" operator="lessThan">
      <formula>0</formula>
    </cfRule>
  </conditionalFormatting>
  <conditionalFormatting sqref="I15:K15">
    <cfRule type="cellIs" dxfId="22" priority="17" operator="lessThan">
      <formula>0</formula>
    </cfRule>
  </conditionalFormatting>
  <conditionalFormatting sqref="I19:K19">
    <cfRule type="cellIs" dxfId="21" priority="16" operator="lessThan">
      <formula>0</formula>
    </cfRule>
  </conditionalFormatting>
  <conditionalFormatting sqref="I21:K21">
    <cfRule type="cellIs" dxfId="20" priority="15" operator="lessThan">
      <formula>0</formula>
    </cfRule>
  </conditionalFormatting>
  <conditionalFormatting sqref="I25:K25">
    <cfRule type="cellIs" dxfId="19" priority="14" operator="lessThan">
      <formula>0</formula>
    </cfRule>
  </conditionalFormatting>
  <conditionalFormatting sqref="I30:K30">
    <cfRule type="cellIs" dxfId="18" priority="13" operator="lessThan">
      <formula>0</formula>
    </cfRule>
  </conditionalFormatting>
  <conditionalFormatting sqref="I36:K36">
    <cfRule type="cellIs" dxfId="17" priority="12" operator="lessThan">
      <formula>0</formula>
    </cfRule>
  </conditionalFormatting>
  <conditionalFormatting sqref="I38:K38">
    <cfRule type="cellIs" dxfId="16" priority="11" operator="lessThan">
      <formula>0</formula>
    </cfRule>
  </conditionalFormatting>
  <conditionalFormatting sqref="I48:K48">
    <cfRule type="cellIs" dxfId="15" priority="10" operator="lessThan">
      <formula>0</formula>
    </cfRule>
  </conditionalFormatting>
  <conditionalFormatting sqref="I51:K51">
    <cfRule type="cellIs" dxfId="14" priority="9" operator="lessThan">
      <formula>0</formula>
    </cfRule>
  </conditionalFormatting>
  <conditionalFormatting sqref="I56:K56">
    <cfRule type="cellIs" dxfId="13" priority="8" operator="lessThan">
      <formula>0</formula>
    </cfRule>
  </conditionalFormatting>
  <conditionalFormatting sqref="I58:K58">
    <cfRule type="cellIs" dxfId="12" priority="7" operator="lessThan">
      <formula>0</formula>
    </cfRule>
  </conditionalFormatting>
  <conditionalFormatting sqref="I61:K61">
    <cfRule type="cellIs" dxfId="11" priority="6" operator="lessThan">
      <formula>0</formula>
    </cfRule>
  </conditionalFormatting>
  <conditionalFormatting sqref="I63:K63">
    <cfRule type="cellIs" dxfId="10" priority="5" operator="lessThan">
      <formula>0</formula>
    </cfRule>
  </conditionalFormatting>
  <conditionalFormatting sqref="I65:K65">
    <cfRule type="cellIs" dxfId="9" priority="4" operator="lessThan">
      <formula>0</formula>
    </cfRule>
  </conditionalFormatting>
  <conditionalFormatting sqref="I67:K67">
    <cfRule type="cellIs" dxfId="8" priority="3" operator="lessThan">
      <formula>0</formula>
    </cfRule>
  </conditionalFormatting>
  <hyperlinks>
    <hyperlink ref="D1" r:id="rId1" location="INDICE!A1"/>
    <hyperlink ref="F1" location="'Frutos secos (2)'!B74" display="SECANO"/>
    <hyperlink ref="G1" location="'Frutos secos (2)'!B146" display="REGADÍO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topLeftCell="A16" workbookViewId="0">
      <selection activeCell="E1" sqref="E1"/>
    </sheetView>
  </sheetViews>
  <sheetFormatPr baseColWidth="10" defaultRowHeight="15" x14ac:dyDescent="0.25"/>
  <cols>
    <col min="1" max="1" width="15.140625" customWidth="1"/>
    <col min="9" max="9" width="15.140625" customWidth="1"/>
    <col min="17" max="17" width="14.85546875" bestFit="1" customWidth="1"/>
  </cols>
  <sheetData>
    <row r="1" spans="1:22" x14ac:dyDescent="0.25">
      <c r="D1" s="2" t="s">
        <v>0</v>
      </c>
      <c r="E1" s="176" t="s">
        <v>1</v>
      </c>
      <c r="F1" s="2" t="s">
        <v>216</v>
      </c>
      <c r="G1" t="s">
        <v>225</v>
      </c>
    </row>
    <row r="2" spans="1:22" ht="18.75" x14ac:dyDescent="0.3">
      <c r="A2" s="307" t="s">
        <v>7</v>
      </c>
      <c r="B2" s="307"/>
      <c r="I2" s="307" t="s">
        <v>7</v>
      </c>
      <c r="J2" s="307"/>
      <c r="Q2" s="309" t="s">
        <v>106</v>
      </c>
      <c r="R2" s="309"/>
    </row>
    <row r="3" spans="1:22" x14ac:dyDescent="0.25">
      <c r="A3" s="87" t="s">
        <v>94</v>
      </c>
      <c r="B3" s="87" t="s">
        <v>99</v>
      </c>
      <c r="C3" s="87" t="s">
        <v>100</v>
      </c>
      <c r="D3" s="87" t="s">
        <v>101</v>
      </c>
      <c r="E3" s="87" t="s">
        <v>102</v>
      </c>
      <c r="F3" s="87" t="s">
        <v>103</v>
      </c>
      <c r="I3" s="87" t="s">
        <v>94</v>
      </c>
      <c r="J3" s="87" t="s">
        <v>99</v>
      </c>
      <c r="K3" s="87" t="s">
        <v>100</v>
      </c>
      <c r="L3" s="87" t="s">
        <v>101</v>
      </c>
      <c r="M3" s="87" t="s">
        <v>102</v>
      </c>
      <c r="N3" s="87" t="s">
        <v>103</v>
      </c>
      <c r="Q3" s="89" t="s">
        <v>94</v>
      </c>
      <c r="R3" s="89" t="s">
        <v>99</v>
      </c>
      <c r="S3" s="89" t="s">
        <v>100</v>
      </c>
      <c r="T3" s="89" t="s">
        <v>101</v>
      </c>
      <c r="U3" s="89" t="s">
        <v>102</v>
      </c>
      <c r="V3" s="89" t="s">
        <v>103</v>
      </c>
    </row>
    <row r="4" spans="1:22" x14ac:dyDescent="0.25">
      <c r="A4" s="88" t="s">
        <v>49</v>
      </c>
      <c r="B4" s="14">
        <v>56.52</v>
      </c>
      <c r="C4" s="14">
        <v>98.96</v>
      </c>
      <c r="D4" s="14">
        <v>94.46</v>
      </c>
      <c r="E4" s="14">
        <v>95.64</v>
      </c>
      <c r="F4" s="14">
        <v>345.58</v>
      </c>
      <c r="I4" s="88" t="s">
        <v>49</v>
      </c>
      <c r="J4" s="134">
        <f>IFERROR(B4/F4,"")</f>
        <v>0.16355113143121711</v>
      </c>
      <c r="K4" s="134">
        <f>IFERROR(C4/F4,"")</f>
        <v>0.28635916430348979</v>
      </c>
      <c r="L4" s="134">
        <f>IFERROR(D4/F4,"")</f>
        <v>0.27333757740609987</v>
      </c>
      <c r="M4" s="134">
        <f>IFERROR(E4/F4,"")</f>
        <v>0.27675212685919326</v>
      </c>
      <c r="N4" s="135">
        <f>IFERROR(F4/F4,"")</f>
        <v>1</v>
      </c>
      <c r="Q4" s="88" t="s">
        <v>49</v>
      </c>
      <c r="R4" s="14">
        <v>705.53</v>
      </c>
      <c r="S4" s="14">
        <v>291.7</v>
      </c>
      <c r="T4" s="14">
        <v>54.84</v>
      </c>
      <c r="U4" s="14">
        <v>19.940000000000001</v>
      </c>
      <c r="V4" s="14">
        <v>1072.01</v>
      </c>
    </row>
    <row r="5" spans="1:22" x14ac:dyDescent="0.25">
      <c r="A5" s="88" t="s">
        <v>50</v>
      </c>
      <c r="B5" s="14">
        <v>37.479999999999997</v>
      </c>
      <c r="C5" s="14">
        <v>42.78</v>
      </c>
      <c r="D5" s="14">
        <v>32.56</v>
      </c>
      <c r="E5" s="14">
        <v>13.28</v>
      </c>
      <c r="F5" s="14">
        <v>126.1</v>
      </c>
      <c r="I5" s="88" t="s">
        <v>50</v>
      </c>
      <c r="J5" s="134">
        <f t="shared" ref="J5:J20" si="0">IFERROR(B5/F5,"")</f>
        <v>0.2972244250594766</v>
      </c>
      <c r="K5" s="134">
        <f t="shared" ref="K5:K20" si="1">IFERROR(C5/F5,"")</f>
        <v>0.33925455987311659</v>
      </c>
      <c r="L5" s="134">
        <f t="shared" ref="L5:L20" si="2">IFERROR(D5/F5,"")</f>
        <v>0.25820777160983349</v>
      </c>
      <c r="M5" s="134">
        <f t="shared" ref="M5:M20" si="3">IFERROR(E5/F5,"")</f>
        <v>0.10531324345757336</v>
      </c>
      <c r="N5" s="135">
        <f t="shared" ref="N5:N20" si="4">IFERROR(F5/F5,"")</f>
        <v>1</v>
      </c>
      <c r="Q5" s="88" t="s">
        <v>50</v>
      </c>
      <c r="R5" s="14">
        <v>593.79999999999995</v>
      </c>
      <c r="S5" s="14">
        <v>202</v>
      </c>
      <c r="T5" s="14">
        <v>22.19</v>
      </c>
      <c r="U5" s="14">
        <v>8.1300000000000008</v>
      </c>
      <c r="V5" s="14">
        <v>826.12</v>
      </c>
    </row>
    <row r="6" spans="1:22" x14ac:dyDescent="0.25">
      <c r="A6" s="88" t="s">
        <v>63</v>
      </c>
      <c r="B6" s="14">
        <v>0</v>
      </c>
      <c r="C6" s="14">
        <v>0</v>
      </c>
      <c r="D6" s="14">
        <v>0.32</v>
      </c>
      <c r="E6" s="14">
        <v>27.31</v>
      </c>
      <c r="F6" s="14">
        <v>27.63</v>
      </c>
      <c r="I6" s="88" t="s">
        <v>63</v>
      </c>
      <c r="J6" s="134">
        <f t="shared" si="0"/>
        <v>0</v>
      </c>
      <c r="K6" s="134">
        <f t="shared" si="1"/>
        <v>0</v>
      </c>
      <c r="L6" s="134">
        <f t="shared" si="2"/>
        <v>1.158161418747738E-2</v>
      </c>
      <c r="M6" s="134">
        <f t="shared" si="3"/>
        <v>0.98841838581252262</v>
      </c>
      <c r="N6" s="135">
        <f t="shared" si="4"/>
        <v>1</v>
      </c>
      <c r="Q6" s="88" t="s">
        <v>63</v>
      </c>
      <c r="R6" s="14">
        <v>0</v>
      </c>
      <c r="S6" s="14">
        <v>0</v>
      </c>
      <c r="T6" s="14">
        <v>0</v>
      </c>
      <c r="U6" s="14">
        <v>0.06</v>
      </c>
      <c r="V6" s="14">
        <v>0.06</v>
      </c>
    </row>
    <row r="7" spans="1:22" x14ac:dyDescent="0.25">
      <c r="A7" s="88" t="s">
        <v>60</v>
      </c>
      <c r="B7" s="14">
        <v>154.57</v>
      </c>
      <c r="C7" s="14">
        <v>304.55</v>
      </c>
      <c r="D7" s="14">
        <v>40.57</v>
      </c>
      <c r="E7" s="14">
        <v>26.94</v>
      </c>
      <c r="F7" s="14">
        <v>526.63</v>
      </c>
      <c r="I7" s="88" t="s">
        <v>60</v>
      </c>
      <c r="J7" s="134">
        <f t="shared" si="0"/>
        <v>0.2935077758578129</v>
      </c>
      <c r="K7" s="134">
        <f t="shared" si="1"/>
        <v>0.57829975504623743</v>
      </c>
      <c r="L7" s="134">
        <f t="shared" si="2"/>
        <v>7.703700890568331E-2</v>
      </c>
      <c r="M7" s="134">
        <f t="shared" si="3"/>
        <v>5.1155460190266414E-2</v>
      </c>
      <c r="N7" s="135">
        <f t="shared" si="4"/>
        <v>1</v>
      </c>
      <c r="Q7" s="88" t="s">
        <v>60</v>
      </c>
      <c r="R7" s="14">
        <v>94.44</v>
      </c>
      <c r="S7" s="14">
        <v>46.86</v>
      </c>
      <c r="T7" s="14">
        <v>16.53</v>
      </c>
      <c r="U7" s="14">
        <v>9.7799999999999994</v>
      </c>
      <c r="V7" s="14">
        <v>167.61</v>
      </c>
    </row>
    <row r="8" spans="1:22" x14ac:dyDescent="0.25">
      <c r="A8" s="88" t="s">
        <v>53</v>
      </c>
      <c r="B8" s="14">
        <v>113.74</v>
      </c>
      <c r="C8" s="14">
        <v>89.49</v>
      </c>
      <c r="D8" s="14">
        <v>41.34</v>
      </c>
      <c r="E8" s="14">
        <v>42.5</v>
      </c>
      <c r="F8" s="14">
        <v>287.07</v>
      </c>
      <c r="I8" s="88" t="s">
        <v>53</v>
      </c>
      <c r="J8" s="134">
        <f t="shared" si="0"/>
        <v>0.39620998362768661</v>
      </c>
      <c r="K8" s="134">
        <f t="shared" si="1"/>
        <v>0.31173581356463581</v>
      </c>
      <c r="L8" s="134">
        <f t="shared" si="2"/>
        <v>0.14400668826418644</v>
      </c>
      <c r="M8" s="134">
        <f t="shared" si="3"/>
        <v>0.14804751454349113</v>
      </c>
      <c r="N8" s="135">
        <f t="shared" si="4"/>
        <v>1</v>
      </c>
      <c r="Q8" s="88" t="s">
        <v>53</v>
      </c>
      <c r="R8" s="14">
        <v>158.27000000000001</v>
      </c>
      <c r="S8" s="14">
        <v>47.94</v>
      </c>
      <c r="T8" s="14">
        <v>3.88</v>
      </c>
      <c r="U8" s="14">
        <v>0.25</v>
      </c>
      <c r="V8" s="14">
        <v>210.34</v>
      </c>
    </row>
    <row r="9" spans="1:22" x14ac:dyDescent="0.25">
      <c r="A9" s="88" t="s">
        <v>52</v>
      </c>
      <c r="B9" s="14">
        <v>349.31</v>
      </c>
      <c r="C9" s="14">
        <v>167.1</v>
      </c>
      <c r="D9" s="14">
        <v>52.4</v>
      </c>
      <c r="E9" s="14">
        <v>49.79</v>
      </c>
      <c r="F9" s="14">
        <v>618.59999999999991</v>
      </c>
      <c r="I9" s="88" t="s">
        <v>52</v>
      </c>
      <c r="J9" s="134">
        <f t="shared" si="0"/>
        <v>0.5646783058519238</v>
      </c>
      <c r="K9" s="134">
        <f t="shared" si="1"/>
        <v>0.27012609117361785</v>
      </c>
      <c r="L9" s="134">
        <f t="shared" si="2"/>
        <v>8.4707403815066293E-2</v>
      </c>
      <c r="M9" s="134">
        <f t="shared" si="3"/>
        <v>8.048819915939219E-2</v>
      </c>
      <c r="N9" s="135">
        <f t="shared" si="4"/>
        <v>1</v>
      </c>
      <c r="Q9" s="88" t="s">
        <v>52</v>
      </c>
      <c r="R9" s="14">
        <v>688.18999999999903</v>
      </c>
      <c r="S9" s="14">
        <v>195.58</v>
      </c>
      <c r="T9" s="14">
        <v>87.89</v>
      </c>
      <c r="U9" s="14">
        <v>27.11</v>
      </c>
      <c r="V9" s="14">
        <v>998.76999999999907</v>
      </c>
    </row>
    <row r="10" spans="1:22" x14ac:dyDescent="0.25">
      <c r="A10" s="88" t="s">
        <v>65</v>
      </c>
      <c r="B10" s="14">
        <v>0</v>
      </c>
      <c r="C10" s="14">
        <v>0</v>
      </c>
      <c r="D10" s="14">
        <v>1.03</v>
      </c>
      <c r="E10" s="14">
        <v>9.09</v>
      </c>
      <c r="F10" s="14">
        <v>10.119999999999999</v>
      </c>
      <c r="I10" s="88" t="s">
        <v>65</v>
      </c>
      <c r="J10" s="134">
        <f t="shared" si="0"/>
        <v>0</v>
      </c>
      <c r="K10" s="134">
        <f t="shared" si="1"/>
        <v>0</v>
      </c>
      <c r="L10" s="134">
        <f t="shared" si="2"/>
        <v>0.10177865612648222</v>
      </c>
      <c r="M10" s="134">
        <f t="shared" si="3"/>
        <v>0.89822134387351782</v>
      </c>
      <c r="N10" s="135">
        <f t="shared" si="4"/>
        <v>1</v>
      </c>
      <c r="Q10" s="88" t="s">
        <v>65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</row>
    <row r="11" spans="1:22" x14ac:dyDescent="0.25">
      <c r="A11" s="88" t="s">
        <v>51</v>
      </c>
      <c r="B11" s="14">
        <v>57.92</v>
      </c>
      <c r="C11" s="14">
        <v>113.88</v>
      </c>
      <c r="D11" s="14">
        <v>52.7</v>
      </c>
      <c r="E11" s="14">
        <v>48.49</v>
      </c>
      <c r="F11" s="14">
        <v>272.99</v>
      </c>
      <c r="I11" s="88" t="s">
        <v>51</v>
      </c>
      <c r="J11" s="134">
        <f t="shared" si="0"/>
        <v>0.2121689439173596</v>
      </c>
      <c r="K11" s="134">
        <f t="shared" si="1"/>
        <v>0.41715813766072013</v>
      </c>
      <c r="L11" s="134">
        <f t="shared" si="2"/>
        <v>0.19304736437232134</v>
      </c>
      <c r="M11" s="134">
        <f t="shared" si="3"/>
        <v>0.1776255540495989</v>
      </c>
      <c r="N11" s="135">
        <f t="shared" si="4"/>
        <v>1</v>
      </c>
      <c r="Q11" s="88" t="s">
        <v>51</v>
      </c>
      <c r="R11" s="14">
        <v>561.62</v>
      </c>
      <c r="S11" s="14">
        <v>156.56</v>
      </c>
      <c r="T11" s="14">
        <v>41.84</v>
      </c>
      <c r="U11" s="14">
        <v>32.67</v>
      </c>
      <c r="V11" s="14">
        <v>792.69</v>
      </c>
    </row>
    <row r="12" spans="1:22" x14ac:dyDescent="0.25">
      <c r="A12" s="88" t="s">
        <v>54</v>
      </c>
      <c r="B12" s="14">
        <v>78.67</v>
      </c>
      <c r="C12" s="14">
        <v>51.07</v>
      </c>
      <c r="D12" s="14">
        <v>11.06</v>
      </c>
      <c r="E12" s="14">
        <v>1.2</v>
      </c>
      <c r="F12" s="14">
        <v>142</v>
      </c>
      <c r="I12" s="88" t="s">
        <v>54</v>
      </c>
      <c r="J12" s="134">
        <f t="shared" si="0"/>
        <v>0.55401408450704226</v>
      </c>
      <c r="K12" s="134">
        <f t="shared" si="1"/>
        <v>0.35964788732394365</v>
      </c>
      <c r="L12" s="134">
        <f t="shared" si="2"/>
        <v>7.7887323943661976E-2</v>
      </c>
      <c r="M12" s="134">
        <f t="shared" si="3"/>
        <v>8.4507042253521118E-3</v>
      </c>
      <c r="N12" s="135">
        <f t="shared" si="4"/>
        <v>1</v>
      </c>
      <c r="Q12" s="88" t="s">
        <v>54</v>
      </c>
      <c r="R12" s="14">
        <v>1892.46</v>
      </c>
      <c r="S12" s="14">
        <v>134.44</v>
      </c>
      <c r="T12" s="14">
        <v>15.6</v>
      </c>
      <c r="U12" s="14">
        <v>0.47</v>
      </c>
      <c r="V12" s="14">
        <v>2042.97</v>
      </c>
    </row>
    <row r="13" spans="1:22" x14ac:dyDescent="0.25">
      <c r="A13" s="88" t="s">
        <v>67</v>
      </c>
      <c r="B13" s="14">
        <v>6.17</v>
      </c>
      <c r="C13" s="14">
        <v>4.0199999999999996</v>
      </c>
      <c r="D13" s="14">
        <v>3.58</v>
      </c>
      <c r="E13" s="14">
        <v>7.88</v>
      </c>
      <c r="F13" s="14">
        <v>21.65</v>
      </c>
      <c r="I13" s="88" t="s">
        <v>67</v>
      </c>
      <c r="J13" s="134">
        <f t="shared" si="0"/>
        <v>0.28498845265588918</v>
      </c>
      <c r="K13" s="134">
        <f t="shared" si="1"/>
        <v>0.18568129330254041</v>
      </c>
      <c r="L13" s="134">
        <f t="shared" si="2"/>
        <v>0.16535796766743652</v>
      </c>
      <c r="M13" s="134">
        <f t="shared" si="3"/>
        <v>0.36397228637413398</v>
      </c>
      <c r="N13" s="135">
        <f t="shared" si="4"/>
        <v>1</v>
      </c>
      <c r="Q13" s="88" t="s">
        <v>67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</row>
    <row r="14" spans="1:22" x14ac:dyDescent="0.25">
      <c r="A14" s="88" t="s">
        <v>75</v>
      </c>
      <c r="B14" s="14">
        <v>0.82</v>
      </c>
      <c r="C14" s="14">
        <v>0.74</v>
      </c>
      <c r="D14" s="14">
        <v>0</v>
      </c>
      <c r="E14" s="14">
        <v>0.02</v>
      </c>
      <c r="F14" s="14">
        <v>1.58</v>
      </c>
      <c r="I14" s="88" t="s">
        <v>75</v>
      </c>
      <c r="J14" s="134">
        <f t="shared" si="0"/>
        <v>0.51898734177215189</v>
      </c>
      <c r="K14" s="134">
        <f t="shared" si="1"/>
        <v>0.46835443037974683</v>
      </c>
      <c r="L14" s="134">
        <f t="shared" si="2"/>
        <v>0</v>
      </c>
      <c r="M14" s="134">
        <f t="shared" si="3"/>
        <v>1.2658227848101266E-2</v>
      </c>
      <c r="N14" s="135">
        <f t="shared" si="4"/>
        <v>1</v>
      </c>
      <c r="Q14" s="88" t="s">
        <v>75</v>
      </c>
      <c r="R14" s="14">
        <v>2.09</v>
      </c>
      <c r="S14" s="14">
        <v>1.2150000000000001</v>
      </c>
      <c r="T14" s="14">
        <v>0</v>
      </c>
      <c r="U14" s="14">
        <v>0</v>
      </c>
      <c r="V14" s="14">
        <v>3.3049999999999997</v>
      </c>
    </row>
    <row r="15" spans="1:22" x14ac:dyDescent="0.25">
      <c r="A15" s="88" t="s">
        <v>55</v>
      </c>
      <c r="B15" s="14">
        <v>33.482999999999997</v>
      </c>
      <c r="C15" s="14">
        <v>20.49</v>
      </c>
      <c r="D15" s="14">
        <v>22.983000000000001</v>
      </c>
      <c r="E15" s="14">
        <v>40.299999999999997</v>
      </c>
      <c r="F15" s="14">
        <v>117.256</v>
      </c>
      <c r="I15" s="88" t="s">
        <v>55</v>
      </c>
      <c r="J15" s="134">
        <f t="shared" si="0"/>
        <v>0.28555468376884763</v>
      </c>
      <c r="K15" s="134">
        <f t="shared" si="1"/>
        <v>0.17474585522276045</v>
      </c>
      <c r="L15" s="134">
        <f t="shared" si="2"/>
        <v>0.19600702735894113</v>
      </c>
      <c r="M15" s="134">
        <f t="shared" si="3"/>
        <v>0.34369243364945073</v>
      </c>
      <c r="N15" s="135">
        <f t="shared" si="4"/>
        <v>1</v>
      </c>
      <c r="Q15" s="88" t="s">
        <v>55</v>
      </c>
      <c r="R15" s="14">
        <v>45.555999999999997</v>
      </c>
      <c r="S15" s="14">
        <v>9.8320000000000007</v>
      </c>
      <c r="T15" s="14">
        <v>1.994</v>
      </c>
      <c r="U15" s="14">
        <v>3.22</v>
      </c>
      <c r="V15" s="14">
        <v>60.601999999999997</v>
      </c>
    </row>
    <row r="16" spans="1:22" x14ac:dyDescent="0.25">
      <c r="A16" s="88" t="s">
        <v>80</v>
      </c>
      <c r="B16" s="14">
        <v>1.0900000000000001</v>
      </c>
      <c r="C16" s="14">
        <v>0</v>
      </c>
      <c r="D16" s="14">
        <v>1.66</v>
      </c>
      <c r="E16" s="14">
        <v>1.73</v>
      </c>
      <c r="F16" s="14">
        <v>4.4800000000000004</v>
      </c>
      <c r="I16" s="88" t="s">
        <v>80</v>
      </c>
      <c r="J16" s="134">
        <f t="shared" si="0"/>
        <v>0.24330357142857142</v>
      </c>
      <c r="K16" s="134">
        <f t="shared" si="1"/>
        <v>0</v>
      </c>
      <c r="L16" s="134">
        <f t="shared" si="2"/>
        <v>0.37053571428571425</v>
      </c>
      <c r="M16" s="134">
        <f t="shared" si="3"/>
        <v>0.38616071428571425</v>
      </c>
      <c r="N16" s="135">
        <f t="shared" si="4"/>
        <v>1</v>
      </c>
      <c r="Q16" s="88" t="s">
        <v>80</v>
      </c>
      <c r="R16" s="14">
        <v>1.5</v>
      </c>
      <c r="S16" s="14">
        <v>0.49</v>
      </c>
      <c r="T16" s="14">
        <v>0</v>
      </c>
      <c r="U16" s="14">
        <v>0</v>
      </c>
      <c r="V16" s="14">
        <v>1.99</v>
      </c>
    </row>
    <row r="17" spans="1:22" x14ac:dyDescent="0.25">
      <c r="A17" s="88" t="s">
        <v>56</v>
      </c>
      <c r="B17" s="14">
        <v>3.56</v>
      </c>
      <c r="C17" s="14">
        <v>31.21</v>
      </c>
      <c r="D17" s="14">
        <v>12.46</v>
      </c>
      <c r="E17" s="14">
        <v>27.31</v>
      </c>
      <c r="F17" s="14">
        <v>74.540000000000006</v>
      </c>
      <c r="I17" s="88" t="s">
        <v>56</v>
      </c>
      <c r="J17" s="134">
        <f t="shared" si="0"/>
        <v>4.7759592165280383E-2</v>
      </c>
      <c r="K17" s="134">
        <f t="shared" si="1"/>
        <v>0.41870136839280919</v>
      </c>
      <c r="L17" s="134">
        <f t="shared" si="2"/>
        <v>0.16715857257848135</v>
      </c>
      <c r="M17" s="134">
        <f t="shared" si="3"/>
        <v>0.36638046686342901</v>
      </c>
      <c r="N17" s="135">
        <f t="shared" si="4"/>
        <v>1</v>
      </c>
      <c r="Q17" s="88" t="s">
        <v>56</v>
      </c>
      <c r="R17" s="14">
        <v>19.84</v>
      </c>
      <c r="S17" s="14">
        <v>16.600000000000001</v>
      </c>
      <c r="T17" s="14">
        <v>1.3</v>
      </c>
      <c r="U17" s="14">
        <v>0</v>
      </c>
      <c r="V17" s="14">
        <v>37.739999999999995</v>
      </c>
    </row>
    <row r="18" spans="1:22" x14ac:dyDescent="0.25">
      <c r="A18" s="88" t="s">
        <v>57</v>
      </c>
      <c r="B18" s="14">
        <v>8.24</v>
      </c>
      <c r="C18" s="14">
        <v>23.5</v>
      </c>
      <c r="D18" s="14">
        <v>17.670000000000002</v>
      </c>
      <c r="E18" s="14">
        <v>22.29</v>
      </c>
      <c r="F18" s="14">
        <v>71.7</v>
      </c>
      <c r="I18" s="88" t="s">
        <v>57</v>
      </c>
      <c r="J18" s="134">
        <f t="shared" si="0"/>
        <v>0.11492329149232915</v>
      </c>
      <c r="K18" s="134">
        <f t="shared" si="1"/>
        <v>0.32775453277545324</v>
      </c>
      <c r="L18" s="134">
        <f t="shared" si="2"/>
        <v>0.24644351464435149</v>
      </c>
      <c r="M18" s="134">
        <f t="shared" si="3"/>
        <v>0.3108786610878661</v>
      </c>
      <c r="N18" s="135">
        <f t="shared" si="4"/>
        <v>1</v>
      </c>
      <c r="Q18" s="88" t="s">
        <v>57</v>
      </c>
      <c r="R18" s="14">
        <v>47.9</v>
      </c>
      <c r="S18" s="14">
        <v>46.32</v>
      </c>
      <c r="T18" s="14">
        <v>0.28999999999999998</v>
      </c>
      <c r="U18" s="14">
        <v>0.59</v>
      </c>
      <c r="V18" s="14">
        <v>95.100000000000009</v>
      </c>
    </row>
    <row r="19" spans="1:22" x14ac:dyDescent="0.25">
      <c r="A19" s="88" t="s">
        <v>86</v>
      </c>
      <c r="B19" s="14">
        <v>6.23</v>
      </c>
      <c r="C19" s="14">
        <v>5.6</v>
      </c>
      <c r="D19" s="14">
        <v>5.98</v>
      </c>
      <c r="E19" s="14">
        <v>70.731499999999997</v>
      </c>
      <c r="F19" s="14">
        <v>88.541499999999999</v>
      </c>
      <c r="I19" s="88" t="s">
        <v>86</v>
      </c>
      <c r="J19" s="134">
        <f t="shared" si="0"/>
        <v>7.0362485388207802E-2</v>
      </c>
      <c r="K19" s="134">
        <f t="shared" si="1"/>
        <v>6.3247177877040706E-2</v>
      </c>
      <c r="L19" s="134">
        <f t="shared" si="2"/>
        <v>6.7538950661554187E-2</v>
      </c>
      <c r="M19" s="134">
        <f t="shared" si="3"/>
        <v>0.79885138607319728</v>
      </c>
      <c r="N19" s="135">
        <f t="shared" si="4"/>
        <v>1</v>
      </c>
      <c r="Q19" s="88" t="s">
        <v>86</v>
      </c>
      <c r="R19" s="14">
        <v>0</v>
      </c>
      <c r="S19" s="14">
        <v>7.0000000000000007E-2</v>
      </c>
      <c r="T19" s="14">
        <v>0</v>
      </c>
      <c r="U19" s="14">
        <v>0</v>
      </c>
      <c r="V19" s="14">
        <v>7.0000000000000007E-2</v>
      </c>
    </row>
    <row r="20" spans="1:22" x14ac:dyDescent="0.25">
      <c r="A20" s="44" t="s">
        <v>59</v>
      </c>
      <c r="B20" s="45">
        <v>907.803</v>
      </c>
      <c r="C20" s="45">
        <v>953.39</v>
      </c>
      <c r="D20" s="45">
        <v>390.77300000000002</v>
      </c>
      <c r="E20" s="45">
        <v>484.50150000000002</v>
      </c>
      <c r="F20" s="45">
        <v>2736.4674999999997</v>
      </c>
      <c r="I20" s="44" t="s">
        <v>59</v>
      </c>
      <c r="J20" s="46">
        <f t="shared" si="0"/>
        <v>0.33174265727621471</v>
      </c>
      <c r="K20" s="46">
        <f t="shared" si="1"/>
        <v>0.34840172594777757</v>
      </c>
      <c r="L20" s="46">
        <f t="shared" si="2"/>
        <v>0.14280198832984498</v>
      </c>
      <c r="M20" s="46">
        <f t="shared" si="3"/>
        <v>0.17705362844616282</v>
      </c>
      <c r="N20" s="46">
        <f t="shared" si="4"/>
        <v>1</v>
      </c>
      <c r="Q20" s="60" t="s">
        <v>59</v>
      </c>
      <c r="R20" s="61">
        <v>4811.1959999999999</v>
      </c>
      <c r="S20" s="61">
        <v>1149.607</v>
      </c>
      <c r="T20" s="61">
        <v>246.35400000000001</v>
      </c>
      <c r="U20" s="61">
        <v>102.22</v>
      </c>
      <c r="V20" s="61">
        <v>6309.3770000000004</v>
      </c>
    </row>
    <row r="23" spans="1:22" ht="18.75" x14ac:dyDescent="0.3">
      <c r="A23" s="308" t="s">
        <v>114</v>
      </c>
      <c r="B23" s="308"/>
      <c r="Q23" s="309" t="s">
        <v>106</v>
      </c>
      <c r="R23" s="309"/>
    </row>
    <row r="24" spans="1:22" x14ac:dyDescent="0.25">
      <c r="A24" s="90" t="s">
        <v>94</v>
      </c>
      <c r="B24" s="90" t="s">
        <v>99</v>
      </c>
      <c r="C24" s="90" t="s">
        <v>100</v>
      </c>
      <c r="D24" s="90" t="s">
        <v>101</v>
      </c>
      <c r="E24" s="90" t="s">
        <v>102</v>
      </c>
      <c r="F24" s="90" t="s">
        <v>103</v>
      </c>
      <c r="I24" s="90" t="s">
        <v>94</v>
      </c>
      <c r="J24" s="90" t="s">
        <v>99</v>
      </c>
      <c r="K24" s="90" t="s">
        <v>100</v>
      </c>
      <c r="L24" s="90" t="s">
        <v>101</v>
      </c>
      <c r="M24" s="90" t="s">
        <v>102</v>
      </c>
      <c r="N24" s="90" t="s">
        <v>103</v>
      </c>
      <c r="O24" s="90" t="s">
        <v>115</v>
      </c>
      <c r="Q24" s="89" t="s">
        <v>94</v>
      </c>
      <c r="R24" s="89" t="s">
        <v>99</v>
      </c>
      <c r="S24" s="89" t="s">
        <v>100</v>
      </c>
      <c r="T24" s="89" t="s">
        <v>101</v>
      </c>
      <c r="U24" s="89" t="s">
        <v>102</v>
      </c>
      <c r="V24" s="89" t="s">
        <v>103</v>
      </c>
    </row>
    <row r="25" spans="1:22" x14ac:dyDescent="0.25">
      <c r="A25" s="88" t="s">
        <v>49</v>
      </c>
      <c r="B25" s="14">
        <v>762.05</v>
      </c>
      <c r="C25" s="14">
        <v>390.66</v>
      </c>
      <c r="D25" s="14">
        <v>149.30000000000001</v>
      </c>
      <c r="E25" s="14">
        <v>115.58</v>
      </c>
      <c r="F25" s="14">
        <v>1417.59</v>
      </c>
      <c r="I25" s="88" t="s">
        <v>49</v>
      </c>
      <c r="J25" s="26">
        <f t="shared" ref="J25:J41" si="5">IFERROR(B25/$F25,"")</f>
        <v>0.53756727967889162</v>
      </c>
      <c r="K25" s="26">
        <f t="shared" ref="K25:N40" si="6">IFERROR(C25/$F25,"")</f>
        <v>0.27558038643049121</v>
      </c>
      <c r="L25" s="26">
        <f t="shared" si="6"/>
        <v>0.10531959170140874</v>
      </c>
      <c r="M25" s="26">
        <f t="shared" si="6"/>
        <v>8.1532742189208446E-2</v>
      </c>
      <c r="N25" s="26">
        <f t="shared" si="6"/>
        <v>1</v>
      </c>
      <c r="O25" s="26">
        <f>IFERROR(F25/$F$41,"")</f>
        <v>0.15671173653272505</v>
      </c>
      <c r="Q25" s="88" t="s">
        <v>49</v>
      </c>
      <c r="R25" s="26">
        <f>IFERROR(R4/V4,"")</f>
        <v>0.65813751737390502</v>
      </c>
      <c r="S25" s="26">
        <f>IFERROR(S4/V4,"")</f>
        <v>0.27210567065605729</v>
      </c>
      <c r="T25" s="26">
        <f>IFERROR(T4/V4,"")</f>
        <v>5.1156239214186439E-2</v>
      </c>
      <c r="U25" s="26">
        <f>IFERROR(U4/V4,"")</f>
        <v>1.8600572755851159E-2</v>
      </c>
      <c r="V25" s="135">
        <f>IFERROR(V4/V4,"")</f>
        <v>1</v>
      </c>
    </row>
    <row r="26" spans="1:22" x14ac:dyDescent="0.25">
      <c r="A26" s="88" t="s">
        <v>50</v>
      </c>
      <c r="B26" s="14">
        <v>631.28</v>
      </c>
      <c r="C26" s="14">
        <v>244.78</v>
      </c>
      <c r="D26" s="14">
        <v>54.75</v>
      </c>
      <c r="E26" s="14">
        <v>21.41</v>
      </c>
      <c r="F26" s="14">
        <v>952.21999999999991</v>
      </c>
      <c r="I26" s="88" t="s">
        <v>50</v>
      </c>
      <c r="J26" s="26">
        <f t="shared" si="5"/>
        <v>0.66295603957068749</v>
      </c>
      <c r="K26" s="26">
        <f t="shared" si="6"/>
        <v>0.25706244355296048</v>
      </c>
      <c r="L26" s="26">
        <f t="shared" si="6"/>
        <v>5.749721702967802E-2</v>
      </c>
      <c r="M26" s="26">
        <f t="shared" si="6"/>
        <v>2.2484299846674091E-2</v>
      </c>
      <c r="N26" s="26">
        <f t="shared" si="6"/>
        <v>1</v>
      </c>
      <c r="O26" s="26">
        <f t="shared" ref="O26:O40" si="7">IFERROR(F26/$F$41,"")</f>
        <v>0.10526601468773866</v>
      </c>
      <c r="Q26" s="88" t="s">
        <v>50</v>
      </c>
      <c r="R26" s="26">
        <f t="shared" ref="R26:R41" si="8">IFERROR(R5/V5,"")</f>
        <v>0.71878177504478757</v>
      </c>
      <c r="S26" s="26">
        <f t="shared" ref="S26:S41" si="9">IFERROR(S5/V5,"")</f>
        <v>0.24451653512806856</v>
      </c>
      <c r="T26" s="26">
        <f t="shared" ref="T26:T41" si="10">IFERROR(T5/V5,"")</f>
        <v>2.6860504527187336E-2</v>
      </c>
      <c r="U26" s="26">
        <f t="shared" ref="U26:U41" si="11">IFERROR(U5/V5,"")</f>
        <v>9.8411852999564231E-3</v>
      </c>
      <c r="V26" s="135">
        <f t="shared" ref="V26:V41" si="12">IFERROR(V5/V5,"")</f>
        <v>1</v>
      </c>
    </row>
    <row r="27" spans="1:22" x14ac:dyDescent="0.25">
      <c r="A27" s="88" t="s">
        <v>63</v>
      </c>
      <c r="B27" s="14">
        <v>0</v>
      </c>
      <c r="C27" s="14">
        <v>0</v>
      </c>
      <c r="D27" s="14">
        <v>0.32</v>
      </c>
      <c r="E27" s="14">
        <v>27.37</v>
      </c>
      <c r="F27" s="14">
        <v>27.69</v>
      </c>
      <c r="I27" s="88" t="s">
        <v>63</v>
      </c>
      <c r="J27" s="26">
        <f t="shared" si="5"/>
        <v>0</v>
      </c>
      <c r="K27" s="26">
        <f t="shared" si="6"/>
        <v>0</v>
      </c>
      <c r="L27" s="26">
        <f t="shared" si="6"/>
        <v>1.155651859877212E-2</v>
      </c>
      <c r="M27" s="26">
        <f t="shared" si="6"/>
        <v>0.98844348140122784</v>
      </c>
      <c r="N27" s="26">
        <f t="shared" si="6"/>
        <v>1</v>
      </c>
      <c r="O27" s="26">
        <f t="shared" si="7"/>
        <v>3.0610740655557371E-3</v>
      </c>
      <c r="Q27" s="88" t="s">
        <v>63</v>
      </c>
      <c r="R27" s="26">
        <f t="shared" si="8"/>
        <v>0</v>
      </c>
      <c r="S27" s="26">
        <f t="shared" si="9"/>
        <v>0</v>
      </c>
      <c r="T27" s="26">
        <f t="shared" si="10"/>
        <v>0</v>
      </c>
      <c r="U27" s="26">
        <f t="shared" si="11"/>
        <v>1</v>
      </c>
      <c r="V27" s="135">
        <f t="shared" si="12"/>
        <v>1</v>
      </c>
    </row>
    <row r="28" spans="1:22" x14ac:dyDescent="0.25">
      <c r="A28" s="88" t="s">
        <v>60</v>
      </c>
      <c r="B28" s="14">
        <v>249.01</v>
      </c>
      <c r="C28" s="14">
        <v>351.41</v>
      </c>
      <c r="D28" s="14">
        <v>57.1</v>
      </c>
      <c r="E28" s="14">
        <v>36.72</v>
      </c>
      <c r="F28" s="14">
        <v>694.24000000000012</v>
      </c>
      <c r="I28" s="88" t="s">
        <v>60</v>
      </c>
      <c r="J28" s="26">
        <f t="shared" si="5"/>
        <v>0.35867999539064294</v>
      </c>
      <c r="K28" s="26">
        <f t="shared" si="6"/>
        <v>0.50617941922101861</v>
      </c>
      <c r="L28" s="26">
        <f t="shared" si="6"/>
        <v>8.2248213874164547E-2</v>
      </c>
      <c r="M28" s="26">
        <f t="shared" si="6"/>
        <v>5.289237151417376E-2</v>
      </c>
      <c r="N28" s="26">
        <f t="shared" si="6"/>
        <v>1</v>
      </c>
      <c r="O28" s="26">
        <f t="shared" si="7"/>
        <v>7.6746842154980691E-2</v>
      </c>
      <c r="Q28" s="88" t="s">
        <v>60</v>
      </c>
      <c r="R28" s="26">
        <f t="shared" si="8"/>
        <v>0.56345086808662959</v>
      </c>
      <c r="S28" s="26">
        <f t="shared" si="9"/>
        <v>0.27957759083586897</v>
      </c>
      <c r="T28" s="26">
        <f t="shared" si="10"/>
        <v>9.8621800608555577E-2</v>
      </c>
      <c r="U28" s="26">
        <f t="shared" si="11"/>
        <v>5.8349740468945761E-2</v>
      </c>
      <c r="V28" s="135">
        <f t="shared" si="12"/>
        <v>1</v>
      </c>
    </row>
    <row r="29" spans="1:22" x14ac:dyDescent="0.25">
      <c r="A29" s="88" t="s">
        <v>53</v>
      </c>
      <c r="B29" s="14">
        <v>272.01</v>
      </c>
      <c r="C29" s="14">
        <v>137.43</v>
      </c>
      <c r="D29" s="14">
        <v>45.22</v>
      </c>
      <c r="E29" s="14">
        <v>42.75</v>
      </c>
      <c r="F29" s="14">
        <v>497.40999999999997</v>
      </c>
      <c r="I29" s="88" t="s">
        <v>53</v>
      </c>
      <c r="J29" s="26">
        <f t="shared" si="5"/>
        <v>0.54685269697030625</v>
      </c>
      <c r="K29" s="26">
        <f t="shared" si="6"/>
        <v>0.27629118835568245</v>
      </c>
      <c r="L29" s="26">
        <f t="shared" si="6"/>
        <v>9.0910918558131118E-2</v>
      </c>
      <c r="M29" s="26">
        <f t="shared" si="6"/>
        <v>8.5945196115880265E-2</v>
      </c>
      <c r="N29" s="26">
        <f t="shared" si="6"/>
        <v>1</v>
      </c>
      <c r="O29" s="26">
        <f t="shared" si="7"/>
        <v>5.4987679701989131E-2</v>
      </c>
      <c r="Q29" s="88" t="s">
        <v>53</v>
      </c>
      <c r="R29" s="26">
        <f t="shared" si="8"/>
        <v>0.75244841684891128</v>
      </c>
      <c r="S29" s="26">
        <f t="shared" si="9"/>
        <v>0.22791670628506228</v>
      </c>
      <c r="T29" s="26">
        <f t="shared" si="10"/>
        <v>1.8446324997622894E-2</v>
      </c>
      <c r="U29" s="26">
        <f t="shared" si="11"/>
        <v>1.1885518684035372E-3</v>
      </c>
      <c r="V29" s="135">
        <f t="shared" si="12"/>
        <v>1</v>
      </c>
    </row>
    <row r="30" spans="1:22" x14ac:dyDescent="0.25">
      <c r="A30" s="88" t="s">
        <v>52</v>
      </c>
      <c r="B30" s="14">
        <v>1037.5</v>
      </c>
      <c r="C30" s="14">
        <v>362.68</v>
      </c>
      <c r="D30" s="14">
        <v>140.29</v>
      </c>
      <c r="E30" s="14">
        <v>76.900000000000006</v>
      </c>
      <c r="F30" s="14">
        <v>1617.3700000000001</v>
      </c>
      <c r="I30" s="88" t="s">
        <v>52</v>
      </c>
      <c r="J30" s="26">
        <f t="shared" si="5"/>
        <v>0.64147350328001629</v>
      </c>
      <c r="K30" s="26">
        <f t="shared" si="6"/>
        <v>0.22424058811527356</v>
      </c>
      <c r="L30" s="26">
        <f t="shared" si="6"/>
        <v>8.6739583397738296E-2</v>
      </c>
      <c r="M30" s="26">
        <f t="shared" si="6"/>
        <v>4.7546325206971815E-2</v>
      </c>
      <c r="N30" s="26">
        <f t="shared" si="6"/>
        <v>1</v>
      </c>
      <c r="O30" s="26">
        <f t="shared" si="7"/>
        <v>0.17879701557991631</v>
      </c>
      <c r="Q30" s="88" t="s">
        <v>52</v>
      </c>
      <c r="R30" s="26">
        <f t="shared" si="8"/>
        <v>0.68903751614485786</v>
      </c>
      <c r="S30" s="26">
        <f t="shared" si="9"/>
        <v>0.19582085965737878</v>
      </c>
      <c r="T30" s="26">
        <f t="shared" si="10"/>
        <v>8.7998237832534104E-2</v>
      </c>
      <c r="U30" s="26">
        <f t="shared" si="11"/>
        <v>2.7143386365229255E-2</v>
      </c>
      <c r="V30" s="135">
        <f t="shared" si="12"/>
        <v>1</v>
      </c>
    </row>
    <row r="31" spans="1:22" x14ac:dyDescent="0.25">
      <c r="A31" s="88" t="s">
        <v>65</v>
      </c>
      <c r="B31" s="14">
        <v>0</v>
      </c>
      <c r="C31" s="14">
        <v>0</v>
      </c>
      <c r="D31" s="14">
        <v>1.03</v>
      </c>
      <c r="E31" s="14">
        <v>9.09</v>
      </c>
      <c r="F31" s="14">
        <v>10.119999999999999</v>
      </c>
      <c r="I31" s="88" t="s">
        <v>65</v>
      </c>
      <c r="J31" s="26">
        <f t="shared" si="5"/>
        <v>0</v>
      </c>
      <c r="K31" s="26">
        <f t="shared" si="6"/>
        <v>0</v>
      </c>
      <c r="L31" s="26">
        <f t="shared" si="6"/>
        <v>0.10177865612648222</v>
      </c>
      <c r="M31" s="26">
        <f t="shared" si="6"/>
        <v>0.89822134387351782</v>
      </c>
      <c r="N31" s="26">
        <f t="shared" si="6"/>
        <v>1</v>
      </c>
      <c r="O31" s="26">
        <f t="shared" si="7"/>
        <v>1.1187457401019884E-3</v>
      </c>
      <c r="Q31" s="88" t="s">
        <v>65</v>
      </c>
      <c r="R31" s="26" t="str">
        <f t="shared" si="8"/>
        <v/>
      </c>
      <c r="S31" s="26" t="str">
        <f t="shared" si="9"/>
        <v/>
      </c>
      <c r="T31" s="26" t="str">
        <f t="shared" si="10"/>
        <v/>
      </c>
      <c r="U31" s="26" t="str">
        <f t="shared" si="11"/>
        <v/>
      </c>
      <c r="V31" s="135" t="str">
        <f t="shared" si="12"/>
        <v/>
      </c>
    </row>
    <row r="32" spans="1:22" x14ac:dyDescent="0.25">
      <c r="A32" s="88" t="s">
        <v>51</v>
      </c>
      <c r="B32" s="14">
        <v>619.54</v>
      </c>
      <c r="C32" s="14">
        <v>270.44</v>
      </c>
      <c r="D32" s="14">
        <v>94.54</v>
      </c>
      <c r="E32" s="14">
        <v>81.16</v>
      </c>
      <c r="F32" s="14">
        <v>1065.68</v>
      </c>
      <c r="I32" s="88" t="s">
        <v>51</v>
      </c>
      <c r="J32" s="26">
        <f t="shared" si="5"/>
        <v>0.58135650476690937</v>
      </c>
      <c r="K32" s="26">
        <f>IFERROR(C32/$F32,"")</f>
        <v>0.25377223932137227</v>
      </c>
      <c r="L32" s="26">
        <f t="shared" si="6"/>
        <v>8.8713309811575713E-2</v>
      </c>
      <c r="M32" s="26">
        <f t="shared" si="6"/>
        <v>7.6157946100142621E-2</v>
      </c>
      <c r="N32" s="26">
        <f t="shared" si="6"/>
        <v>1</v>
      </c>
      <c r="O32" s="26">
        <f>IFERROR(F32/$F$41,"")</f>
        <v>0.11780879054465287</v>
      </c>
      <c r="Q32" s="88" t="s">
        <v>51</v>
      </c>
      <c r="R32" s="26">
        <f t="shared" si="8"/>
        <v>0.70849890877896782</v>
      </c>
      <c r="S32" s="26">
        <f t="shared" si="9"/>
        <v>0.19750469918883801</v>
      </c>
      <c r="T32" s="26">
        <f t="shared" si="10"/>
        <v>5.2782298250261768E-2</v>
      </c>
      <c r="U32" s="26">
        <f t="shared" si="11"/>
        <v>4.1214093781932408E-2</v>
      </c>
      <c r="V32" s="135">
        <f t="shared" si="12"/>
        <v>1</v>
      </c>
    </row>
    <row r="33" spans="1:22" x14ac:dyDescent="0.25">
      <c r="A33" s="88" t="s">
        <v>54</v>
      </c>
      <c r="B33" s="14">
        <v>1971.13</v>
      </c>
      <c r="C33" s="14">
        <v>185.51</v>
      </c>
      <c r="D33" s="14">
        <v>26.66</v>
      </c>
      <c r="E33" s="14">
        <v>1.67</v>
      </c>
      <c r="F33" s="14">
        <v>2184.9700000000003</v>
      </c>
      <c r="I33" s="88" t="s">
        <v>54</v>
      </c>
      <c r="J33" s="26">
        <f t="shared" si="5"/>
        <v>0.90213137937820653</v>
      </c>
      <c r="K33" s="26">
        <f t="shared" si="6"/>
        <v>8.4902767543719115E-2</v>
      </c>
      <c r="L33" s="26">
        <f t="shared" si="6"/>
        <v>1.2201540524583861E-2</v>
      </c>
      <c r="M33" s="26">
        <f t="shared" si="6"/>
        <v>7.6431255349043682E-4</v>
      </c>
      <c r="N33" s="26">
        <f t="shared" si="6"/>
        <v>1</v>
      </c>
      <c r="O33" s="26">
        <f t="shared" si="7"/>
        <v>0.24154405926389741</v>
      </c>
      <c r="Q33" s="88" t="s">
        <v>54</v>
      </c>
      <c r="R33" s="26">
        <f t="shared" si="8"/>
        <v>0.92632784622387998</v>
      </c>
      <c r="S33" s="26">
        <f t="shared" si="9"/>
        <v>6.5806154764876626E-2</v>
      </c>
      <c r="T33" s="26">
        <f t="shared" si="10"/>
        <v>7.6359417906283495E-3</v>
      </c>
      <c r="U33" s="26">
        <f t="shared" si="11"/>
        <v>2.3005722061508489E-4</v>
      </c>
      <c r="V33" s="135">
        <f t="shared" si="12"/>
        <v>1</v>
      </c>
    </row>
    <row r="34" spans="1:22" x14ac:dyDescent="0.25">
      <c r="A34" s="88" t="s">
        <v>67</v>
      </c>
      <c r="B34" s="14">
        <v>6.17</v>
      </c>
      <c r="C34" s="14">
        <v>4.0199999999999996</v>
      </c>
      <c r="D34" s="14">
        <v>3.58</v>
      </c>
      <c r="E34" s="14">
        <v>7.88</v>
      </c>
      <c r="F34" s="14">
        <v>21.65</v>
      </c>
      <c r="I34" s="88" t="s">
        <v>67</v>
      </c>
      <c r="J34" s="26">
        <f t="shared" si="5"/>
        <v>0.28498845265588918</v>
      </c>
      <c r="K34" s="26">
        <f t="shared" si="6"/>
        <v>0.18568129330254041</v>
      </c>
      <c r="L34" s="26">
        <f t="shared" si="6"/>
        <v>0.16535796766743652</v>
      </c>
      <c r="M34" s="26">
        <f t="shared" si="6"/>
        <v>0.36397228637413398</v>
      </c>
      <c r="N34" s="26">
        <f t="shared" si="6"/>
        <v>1</v>
      </c>
      <c r="O34" s="26">
        <f t="shared" si="7"/>
        <v>2.3933641574316253E-3</v>
      </c>
      <c r="Q34" s="88" t="s">
        <v>67</v>
      </c>
      <c r="R34" s="26" t="str">
        <f t="shared" si="8"/>
        <v/>
      </c>
      <c r="S34" s="26" t="str">
        <f t="shared" si="9"/>
        <v/>
      </c>
      <c r="T34" s="26" t="str">
        <f t="shared" si="10"/>
        <v/>
      </c>
      <c r="U34" s="26" t="str">
        <f t="shared" si="11"/>
        <v/>
      </c>
      <c r="V34" s="135" t="str">
        <f t="shared" si="12"/>
        <v/>
      </c>
    </row>
    <row r="35" spans="1:22" x14ac:dyDescent="0.25">
      <c r="A35" s="88" t="s">
        <v>75</v>
      </c>
      <c r="B35" s="14">
        <v>2.91</v>
      </c>
      <c r="C35" s="14">
        <v>1.9550000000000001</v>
      </c>
      <c r="D35" s="14">
        <v>0</v>
      </c>
      <c r="E35" s="14">
        <v>0.02</v>
      </c>
      <c r="F35" s="14">
        <v>4.8849999999999998</v>
      </c>
      <c r="I35" s="88" t="s">
        <v>75</v>
      </c>
      <c r="J35" s="26">
        <f t="shared" si="5"/>
        <v>0.59570112589559887</v>
      </c>
      <c r="K35" s="26">
        <f t="shared" si="6"/>
        <v>0.40020470829068583</v>
      </c>
      <c r="L35" s="26">
        <f t="shared" si="6"/>
        <v>0</v>
      </c>
      <c r="M35" s="26">
        <f t="shared" si="6"/>
        <v>4.0941658137154556E-3</v>
      </c>
      <c r="N35" s="26">
        <f t="shared" si="6"/>
        <v>1</v>
      </c>
      <c r="O35" s="26">
        <f t="shared" si="7"/>
        <v>5.4002697039508035E-4</v>
      </c>
      <c r="Q35" s="88" t="s">
        <v>75</v>
      </c>
      <c r="R35" s="26">
        <f t="shared" si="8"/>
        <v>0.63237518910741297</v>
      </c>
      <c r="S35" s="26">
        <f t="shared" si="9"/>
        <v>0.36762481089258703</v>
      </c>
      <c r="T35" s="26">
        <f t="shared" si="10"/>
        <v>0</v>
      </c>
      <c r="U35" s="26">
        <f t="shared" si="11"/>
        <v>0</v>
      </c>
      <c r="V35" s="135">
        <f t="shared" si="12"/>
        <v>1</v>
      </c>
    </row>
    <row r="36" spans="1:22" x14ac:dyDescent="0.25">
      <c r="A36" s="88" t="s">
        <v>55</v>
      </c>
      <c r="B36" s="14">
        <v>79.039000000000001</v>
      </c>
      <c r="C36" s="14">
        <v>30.321999999999999</v>
      </c>
      <c r="D36" s="14">
        <v>24.977</v>
      </c>
      <c r="E36" s="14">
        <v>43.52</v>
      </c>
      <c r="F36" s="14">
        <v>177.858</v>
      </c>
      <c r="I36" s="88" t="s">
        <v>55</v>
      </c>
      <c r="J36" s="26">
        <f t="shared" si="5"/>
        <v>0.44439384227867174</v>
      </c>
      <c r="K36" s="26">
        <f t="shared" si="6"/>
        <v>0.17048431895107333</v>
      </c>
      <c r="L36" s="26">
        <f t="shared" si="6"/>
        <v>0.14043225494495609</v>
      </c>
      <c r="M36" s="26">
        <f t="shared" si="6"/>
        <v>0.24468958382529885</v>
      </c>
      <c r="N36" s="26">
        <f t="shared" si="6"/>
        <v>1</v>
      </c>
      <c r="O36" s="26">
        <f t="shared" si="7"/>
        <v>1.9661845834294412E-2</v>
      </c>
      <c r="Q36" s="88" t="s">
        <v>55</v>
      </c>
      <c r="R36" s="26">
        <f t="shared" si="8"/>
        <v>0.75172436553249067</v>
      </c>
      <c r="S36" s="26">
        <f t="shared" si="9"/>
        <v>0.1622388700042903</v>
      </c>
      <c r="T36" s="26">
        <f t="shared" si="10"/>
        <v>3.2903204514702487E-2</v>
      </c>
      <c r="U36" s="26">
        <f t="shared" si="11"/>
        <v>5.3133559948516554E-2</v>
      </c>
      <c r="V36" s="135">
        <f t="shared" si="12"/>
        <v>1</v>
      </c>
    </row>
    <row r="37" spans="1:22" x14ac:dyDescent="0.25">
      <c r="A37" s="88" t="s">
        <v>80</v>
      </c>
      <c r="B37" s="14">
        <v>2.59</v>
      </c>
      <c r="C37" s="14">
        <v>0.49</v>
      </c>
      <c r="D37" s="14">
        <v>1.66</v>
      </c>
      <c r="E37" s="14">
        <v>1.73</v>
      </c>
      <c r="F37" s="14">
        <v>6.4700000000000006</v>
      </c>
      <c r="I37" s="88" t="s">
        <v>80</v>
      </c>
      <c r="J37" s="26">
        <f t="shared" si="5"/>
        <v>0.40030911901081911</v>
      </c>
      <c r="K37" s="26">
        <f t="shared" si="6"/>
        <v>7.5734157650695508E-2</v>
      </c>
      <c r="L37" s="26">
        <f t="shared" si="6"/>
        <v>0.25656877897990721</v>
      </c>
      <c r="M37" s="26">
        <f t="shared" si="6"/>
        <v>0.26738794435857804</v>
      </c>
      <c r="N37" s="26">
        <f t="shared" si="6"/>
        <v>1</v>
      </c>
      <c r="O37" s="26">
        <f t="shared" si="7"/>
        <v>7.1524554727864286E-4</v>
      </c>
      <c r="Q37" s="88" t="s">
        <v>80</v>
      </c>
      <c r="R37" s="26">
        <f t="shared" si="8"/>
        <v>0.75376884422110557</v>
      </c>
      <c r="S37" s="26">
        <f t="shared" si="9"/>
        <v>0.24623115577889446</v>
      </c>
      <c r="T37" s="26">
        <f t="shared" si="10"/>
        <v>0</v>
      </c>
      <c r="U37" s="26">
        <f t="shared" si="11"/>
        <v>0</v>
      </c>
      <c r="V37" s="135">
        <f t="shared" si="12"/>
        <v>1</v>
      </c>
    </row>
    <row r="38" spans="1:22" x14ac:dyDescent="0.25">
      <c r="A38" s="88" t="s">
        <v>56</v>
      </c>
      <c r="B38" s="14">
        <v>23.4</v>
      </c>
      <c r="C38" s="14">
        <v>47.81</v>
      </c>
      <c r="D38" s="14">
        <v>13.76</v>
      </c>
      <c r="E38" s="14">
        <v>27.31</v>
      </c>
      <c r="F38" s="14">
        <v>112.28000000000002</v>
      </c>
      <c r="I38" s="88" t="s">
        <v>56</v>
      </c>
      <c r="J38" s="26">
        <f t="shared" si="5"/>
        <v>0.20840755254720339</v>
      </c>
      <c r="K38" s="26">
        <f t="shared" si="6"/>
        <v>0.42581047381546133</v>
      </c>
      <c r="L38" s="26">
        <f t="shared" si="6"/>
        <v>0.12255076594228712</v>
      </c>
      <c r="M38" s="26">
        <f t="shared" si="6"/>
        <v>0.24323120769504805</v>
      </c>
      <c r="N38" s="26">
        <f t="shared" si="6"/>
        <v>1</v>
      </c>
      <c r="O38" s="26">
        <f t="shared" si="7"/>
        <v>1.2412329219234314E-2</v>
      </c>
      <c r="Q38" s="88" t="s">
        <v>56</v>
      </c>
      <c r="R38" s="26">
        <f t="shared" si="8"/>
        <v>0.5257021727609964</v>
      </c>
      <c r="S38" s="26">
        <f t="shared" si="9"/>
        <v>0.43985161632220465</v>
      </c>
      <c r="T38" s="26">
        <f t="shared" si="10"/>
        <v>3.4446210916799155E-2</v>
      </c>
      <c r="U38" s="26">
        <f t="shared" si="11"/>
        <v>0</v>
      </c>
      <c r="V38" s="135">
        <f t="shared" si="12"/>
        <v>1</v>
      </c>
    </row>
    <row r="39" spans="1:22" x14ac:dyDescent="0.25">
      <c r="A39" s="88" t="s">
        <v>57</v>
      </c>
      <c r="B39" s="14">
        <v>56.14</v>
      </c>
      <c r="C39" s="14">
        <v>69.819999999999993</v>
      </c>
      <c r="D39" s="14">
        <v>17.96</v>
      </c>
      <c r="E39" s="14">
        <v>22.88</v>
      </c>
      <c r="F39" s="14">
        <v>166.79999999999998</v>
      </c>
      <c r="I39" s="88" t="s">
        <v>57</v>
      </c>
      <c r="J39" s="26">
        <f t="shared" si="5"/>
        <v>0.33657074340527582</v>
      </c>
      <c r="K39" s="26">
        <f t="shared" si="6"/>
        <v>0.41858513189448443</v>
      </c>
      <c r="L39" s="26">
        <f t="shared" si="6"/>
        <v>0.107673860911271</v>
      </c>
      <c r="M39" s="26">
        <f t="shared" si="6"/>
        <v>0.13717026378896882</v>
      </c>
      <c r="N39" s="26">
        <f t="shared" si="6"/>
        <v>1</v>
      </c>
      <c r="O39" s="26">
        <f t="shared" si="7"/>
        <v>1.8439406072036722E-2</v>
      </c>
      <c r="Q39" s="88" t="s">
        <v>57</v>
      </c>
      <c r="R39" s="26">
        <f t="shared" si="8"/>
        <v>0.50368033648790744</v>
      </c>
      <c r="S39" s="26">
        <f t="shared" si="9"/>
        <v>0.48706624605678228</v>
      </c>
      <c r="T39" s="26">
        <f t="shared" si="10"/>
        <v>3.0494216614090426E-3</v>
      </c>
      <c r="U39" s="26">
        <f t="shared" si="11"/>
        <v>6.2039957939011561E-3</v>
      </c>
      <c r="V39" s="135">
        <f t="shared" si="12"/>
        <v>1</v>
      </c>
    </row>
    <row r="40" spans="1:22" x14ac:dyDescent="0.25">
      <c r="A40" s="88" t="s">
        <v>86</v>
      </c>
      <c r="B40" s="14">
        <v>6.23</v>
      </c>
      <c r="C40" s="14">
        <v>5.67</v>
      </c>
      <c r="D40" s="14">
        <v>5.98</v>
      </c>
      <c r="E40" s="14">
        <v>70.731499999999997</v>
      </c>
      <c r="F40" s="14">
        <v>88.611500000000007</v>
      </c>
      <c r="I40" s="88" t="s">
        <v>86</v>
      </c>
      <c r="J40" s="26">
        <f t="shared" si="5"/>
        <v>7.0306901474413597E-2</v>
      </c>
      <c r="K40" s="26">
        <f t="shared" si="6"/>
        <v>6.3987179993567414E-2</v>
      </c>
      <c r="L40" s="26">
        <f t="shared" si="6"/>
        <v>6.7485597241892986E-2</v>
      </c>
      <c r="M40" s="26">
        <f t="shared" si="6"/>
        <v>0.79822032129012588</v>
      </c>
      <c r="N40" s="26">
        <f t="shared" si="6"/>
        <v>1</v>
      </c>
      <c r="O40" s="26">
        <f t="shared" si="7"/>
        <v>9.7958239277714763E-3</v>
      </c>
      <c r="Q40" s="88" t="s">
        <v>86</v>
      </c>
      <c r="R40" s="26">
        <f t="shared" si="8"/>
        <v>0</v>
      </c>
      <c r="S40" s="26">
        <f t="shared" si="9"/>
        <v>1</v>
      </c>
      <c r="T40" s="26">
        <f t="shared" si="10"/>
        <v>0</v>
      </c>
      <c r="U40" s="26">
        <f t="shared" si="11"/>
        <v>0</v>
      </c>
      <c r="V40" s="135">
        <f t="shared" si="12"/>
        <v>1</v>
      </c>
    </row>
    <row r="41" spans="1:22" x14ac:dyDescent="0.25">
      <c r="A41" s="16" t="s">
        <v>59</v>
      </c>
      <c r="B41" s="17">
        <v>5718.9989999999998</v>
      </c>
      <c r="C41" s="17">
        <v>2102.9969999999998</v>
      </c>
      <c r="D41" s="17">
        <v>637.12699999999995</v>
      </c>
      <c r="E41" s="17">
        <v>586.72149999999999</v>
      </c>
      <c r="F41" s="17">
        <v>9045.8444999999992</v>
      </c>
      <c r="I41" s="16" t="s">
        <v>59</v>
      </c>
      <c r="J41" s="25">
        <f t="shared" si="5"/>
        <v>0.63222389020726588</v>
      </c>
      <c r="K41" s="25">
        <f>IFERROR(C41/$F41,"")</f>
        <v>0.23248210822107324</v>
      </c>
      <c r="L41" s="25">
        <f>IFERROR(D41/$F41,"")</f>
        <v>7.0433114343276634E-2</v>
      </c>
      <c r="M41" s="25">
        <f>IFERROR(E41/$F41,"")</f>
        <v>6.4860887228384262E-2</v>
      </c>
      <c r="N41" s="25">
        <f>IFERROR(F41/$F41,"")</f>
        <v>1</v>
      </c>
      <c r="Q41" s="60" t="s">
        <v>59</v>
      </c>
      <c r="R41" s="62">
        <f t="shared" si="8"/>
        <v>0.76254692024268</v>
      </c>
      <c r="S41" s="62">
        <f t="shared" si="9"/>
        <v>0.18220610370881307</v>
      </c>
      <c r="T41" s="62">
        <f t="shared" si="10"/>
        <v>3.9045693417907978E-2</v>
      </c>
      <c r="U41" s="62">
        <f t="shared" si="11"/>
        <v>1.6201282630598869E-2</v>
      </c>
      <c r="V41" s="62">
        <f t="shared" si="12"/>
        <v>1</v>
      </c>
    </row>
  </sheetData>
  <mergeCells count="5">
    <mergeCell ref="A2:B2"/>
    <mergeCell ref="Q2:R2"/>
    <mergeCell ref="A23:B23"/>
    <mergeCell ref="Q23:R23"/>
    <mergeCell ref="I2:J2"/>
  </mergeCells>
  <conditionalFormatting sqref="J4:M19">
    <cfRule type="colorScale" priority="2">
      <colorScale>
        <cfvo type="percentile" val="25"/>
        <cfvo type="percentile" val="50"/>
        <cfvo type="percentile" val="75"/>
        <color theme="5" tint="0.79998168889431442"/>
        <color theme="5" tint="0.59999389629810485"/>
        <color theme="5" tint="0.39997558519241921"/>
      </colorScale>
    </cfRule>
  </conditionalFormatting>
  <conditionalFormatting sqref="R25:U40">
    <cfRule type="colorScale" priority="1">
      <colorScale>
        <cfvo type="percentile" val="25"/>
        <cfvo type="percentile" val="50"/>
        <cfvo type="percentile" val="75"/>
        <color theme="9" tint="0.79998168889431442"/>
        <color theme="9" tint="0.59999389629810485"/>
        <color theme="9" tint="0.39997558519241921"/>
      </colorScale>
    </cfRule>
  </conditionalFormatting>
  <hyperlinks>
    <hyperlink ref="E1" location="INDICE!A1" display="INDIC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"/>
  <sheetViews>
    <sheetView topLeftCell="J1" workbookViewId="0">
      <selection activeCell="AA1" sqref="AA1"/>
    </sheetView>
  </sheetViews>
  <sheetFormatPr baseColWidth="10" defaultRowHeight="15" x14ac:dyDescent="0.25"/>
  <cols>
    <col min="1" max="1" width="22.140625" customWidth="1"/>
    <col min="4" max="9" width="11.42578125" hidden="1" customWidth="1"/>
    <col min="11" max="22" width="11.42578125" hidden="1" customWidth="1"/>
    <col min="24" max="25" width="11.42578125" hidden="1" customWidth="1"/>
    <col min="28" max="28" width="17.42578125" customWidth="1"/>
  </cols>
  <sheetData>
    <row r="1" spans="1:33" x14ac:dyDescent="0.25">
      <c r="Z1" s="2" t="s">
        <v>0</v>
      </c>
      <c r="AA1" s="176" t="s">
        <v>1</v>
      </c>
      <c r="AB1" s="2" t="s">
        <v>216</v>
      </c>
      <c r="AC1" t="s">
        <v>226</v>
      </c>
    </row>
    <row r="2" spans="1:33" ht="18.75" x14ac:dyDescent="0.3">
      <c r="A2" s="94" t="s">
        <v>142</v>
      </c>
    </row>
    <row r="3" spans="1:33" x14ac:dyDescent="0.25">
      <c r="A3" s="310" t="s">
        <v>116</v>
      </c>
      <c r="B3" s="310"/>
      <c r="C3" s="93"/>
      <c r="D3" s="92"/>
      <c r="AB3" s="310" t="s">
        <v>116</v>
      </c>
      <c r="AC3" s="310"/>
      <c r="AD3" s="310"/>
      <c r="AE3" s="92"/>
    </row>
    <row r="4" spans="1:33" ht="15.75" x14ac:dyDescent="0.25">
      <c r="A4" s="97" t="s">
        <v>94</v>
      </c>
      <c r="B4" s="98" t="s">
        <v>117</v>
      </c>
      <c r="C4" s="98" t="s">
        <v>118</v>
      </c>
      <c r="D4" s="98" t="s">
        <v>119</v>
      </c>
      <c r="E4" s="98" t="s">
        <v>120</v>
      </c>
      <c r="F4" s="98" t="s">
        <v>121</v>
      </c>
      <c r="G4" s="98" t="s">
        <v>122</v>
      </c>
      <c r="H4" s="98" t="s">
        <v>123</v>
      </c>
      <c r="I4" s="98" t="s">
        <v>124</v>
      </c>
      <c r="J4" s="99" t="s">
        <v>125</v>
      </c>
      <c r="K4" s="98" t="s">
        <v>126</v>
      </c>
      <c r="L4" s="98" t="s">
        <v>127</v>
      </c>
      <c r="M4" s="98" t="s">
        <v>128</v>
      </c>
      <c r="N4" s="98" t="s">
        <v>129</v>
      </c>
      <c r="O4" s="98" t="s">
        <v>130</v>
      </c>
      <c r="P4" s="98" t="s">
        <v>131</v>
      </c>
      <c r="Q4" s="98" t="s">
        <v>132</v>
      </c>
      <c r="R4" s="98" t="s">
        <v>133</v>
      </c>
      <c r="S4" s="98" t="s">
        <v>134</v>
      </c>
      <c r="T4" s="98" t="s">
        <v>135</v>
      </c>
      <c r="U4" s="98" t="s">
        <v>136</v>
      </c>
      <c r="V4" s="98" t="s">
        <v>137</v>
      </c>
      <c r="W4" s="99" t="s">
        <v>138</v>
      </c>
      <c r="X4" s="98" t="s">
        <v>139</v>
      </c>
      <c r="Y4" s="98" t="s">
        <v>140</v>
      </c>
      <c r="Z4" s="99" t="s">
        <v>141</v>
      </c>
      <c r="AB4" s="97" t="s">
        <v>94</v>
      </c>
      <c r="AC4" s="98" t="s">
        <v>117</v>
      </c>
      <c r="AD4" s="98" t="s">
        <v>118</v>
      </c>
      <c r="AE4" s="100" t="s">
        <v>125</v>
      </c>
      <c r="AF4" s="99" t="s">
        <v>138</v>
      </c>
      <c r="AG4" s="99" t="s">
        <v>141</v>
      </c>
    </row>
    <row r="5" spans="1:33" x14ac:dyDescent="0.25">
      <c r="A5" s="88" t="s">
        <v>49</v>
      </c>
      <c r="B5" s="14">
        <v>18342.270333333501</v>
      </c>
      <c r="C5" s="14">
        <v>22690.76</v>
      </c>
      <c r="D5" s="14">
        <v>16366.23</v>
      </c>
      <c r="E5" s="14">
        <v>12799.96</v>
      </c>
      <c r="F5" s="14">
        <v>11428.55</v>
      </c>
      <c r="G5" s="14">
        <v>9111.15</v>
      </c>
      <c r="H5" s="14">
        <v>6769.59</v>
      </c>
      <c r="I5" s="14">
        <v>6249.7</v>
      </c>
      <c r="J5" s="14">
        <f>SUM(D5:I5)</f>
        <v>62725.179999999993</v>
      </c>
      <c r="K5" s="14">
        <v>5358.22</v>
      </c>
      <c r="L5" s="14">
        <v>4936.8</v>
      </c>
      <c r="M5" s="14">
        <v>4663.7</v>
      </c>
      <c r="N5" s="14">
        <v>3567.68</v>
      </c>
      <c r="O5" s="14">
        <v>3126.07</v>
      </c>
      <c r="P5" s="14">
        <v>2690.19</v>
      </c>
      <c r="Q5" s="14">
        <v>3043.86</v>
      </c>
      <c r="R5" s="14">
        <v>1935.68</v>
      </c>
      <c r="S5" s="14">
        <v>2133.92</v>
      </c>
      <c r="T5" s="14">
        <v>1986.01</v>
      </c>
      <c r="U5" s="14">
        <v>1758.63</v>
      </c>
      <c r="V5" s="14">
        <v>1168.3499999999999</v>
      </c>
      <c r="W5" s="14">
        <f>SUM(K5:V5)</f>
        <v>36369.11</v>
      </c>
      <c r="X5" s="14">
        <v>7987.8050000000003</v>
      </c>
      <c r="Y5" s="14">
        <v>11596.49</v>
      </c>
      <c r="Z5" s="14">
        <f>SUM(X5:Y5)</f>
        <v>19584.294999999998</v>
      </c>
      <c r="AB5" s="88" t="s">
        <v>49</v>
      </c>
      <c r="AC5" s="26">
        <f>IFERROR(B5/SUM($B5+$C5+$J5+$W5+$Z5),"")</f>
        <v>0.11484618883261195</v>
      </c>
      <c r="AD5" s="26">
        <f>IFERROR(C5/SUM($B5+$C5+$J5+$W5+$Z5),"")</f>
        <v>0.14207332355033916</v>
      </c>
      <c r="AE5" s="26">
        <f>IFERROR(J5/SUM($B5+$C5+$J5+$W5+$Z5),"")</f>
        <v>0.39274025166602011</v>
      </c>
      <c r="AF5" s="26">
        <f>IFERROR(W5/SUM($B5+$C5+$J5+$W5+$Z5),"")</f>
        <v>0.22771737624777116</v>
      </c>
      <c r="AG5" s="26">
        <f>IFERROR(Z5/SUM($B5+$C5+$J5+$W5+$Z5),"")</f>
        <v>0.12262285970325761</v>
      </c>
    </row>
    <row r="6" spans="1:33" x14ac:dyDescent="0.25">
      <c r="A6" s="88" t="s">
        <v>50</v>
      </c>
      <c r="B6" s="14">
        <v>14750.79</v>
      </c>
      <c r="C6" s="14">
        <v>13347.27</v>
      </c>
      <c r="D6" s="14">
        <v>9931.02</v>
      </c>
      <c r="E6" s="14">
        <v>6932.21000000001</v>
      </c>
      <c r="F6" s="14">
        <v>5950.26</v>
      </c>
      <c r="G6" s="14">
        <v>4665.74</v>
      </c>
      <c r="H6" s="14">
        <v>3038.42</v>
      </c>
      <c r="I6" s="14">
        <v>2293.9299999999998</v>
      </c>
      <c r="J6" s="14">
        <f t="shared" ref="J6:J21" si="0">SUM(D6:I6)</f>
        <v>32811.580000000009</v>
      </c>
      <c r="K6" s="14">
        <v>1699.65</v>
      </c>
      <c r="L6" s="14">
        <v>1925.15</v>
      </c>
      <c r="M6" s="14">
        <v>790.85</v>
      </c>
      <c r="N6" s="14">
        <v>1217.93</v>
      </c>
      <c r="O6" s="14">
        <v>499.98</v>
      </c>
      <c r="P6" s="14">
        <v>409.52</v>
      </c>
      <c r="Q6" s="14">
        <v>575.89</v>
      </c>
      <c r="R6" s="14">
        <v>157.54</v>
      </c>
      <c r="S6" s="14">
        <v>573.92999999999995</v>
      </c>
      <c r="T6" s="14">
        <v>350.55</v>
      </c>
      <c r="U6" s="14">
        <v>366.27</v>
      </c>
      <c r="V6" s="14">
        <v>294.07</v>
      </c>
      <c r="W6" s="14">
        <f t="shared" ref="W6:W21" si="1">SUM(K6:V6)</f>
        <v>8861.3300000000017</v>
      </c>
      <c r="X6" s="14">
        <v>1863.08</v>
      </c>
      <c r="Y6" s="14">
        <v>3179.44</v>
      </c>
      <c r="Z6" s="14">
        <f t="shared" ref="Z6:Z21" si="2">SUM(X6:Y6)</f>
        <v>5042.5200000000004</v>
      </c>
      <c r="AB6" s="88" t="s">
        <v>50</v>
      </c>
      <c r="AC6" s="26">
        <f t="shared" ref="AC6:AD21" si="3">IFERROR(B6/SUM($B6+$C6+$J6+$W6+$Z6),"")</f>
        <v>0.19716751617923448</v>
      </c>
      <c r="AD6" s="26">
        <f t="shared" si="3"/>
        <v>0.17840726318208117</v>
      </c>
      <c r="AE6" s="26">
        <f t="shared" ref="AE6:AE21" si="4">IFERROR(J6/SUM($B6+$C6+$J6+$W6+$Z6),"")</f>
        <v>0.43857839007376881</v>
      </c>
      <c r="AF6" s="26">
        <f t="shared" ref="AF6:AF21" si="5">IFERROR(W6/SUM($B6+$C6+$J6+$W6+$Z6),"")</f>
        <v>0.11844561722758823</v>
      </c>
      <c r="AG6" s="26">
        <f t="shared" ref="AG6:AG21" si="6">IFERROR(Z6/SUM($B6+$C6+$J6+$W6+$Z6),"")</f>
        <v>6.7401213337327251E-2</v>
      </c>
    </row>
    <row r="7" spans="1:33" x14ac:dyDescent="0.25">
      <c r="A7" s="88" t="s">
        <v>63</v>
      </c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f t="shared" si="0"/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f t="shared" si="1"/>
        <v>0</v>
      </c>
      <c r="X7" s="14">
        <v>0</v>
      </c>
      <c r="Y7" s="14">
        <v>0</v>
      </c>
      <c r="Z7" s="14">
        <f t="shared" si="2"/>
        <v>0</v>
      </c>
      <c r="AB7" s="88" t="s">
        <v>63</v>
      </c>
      <c r="AC7" s="26" t="str">
        <f t="shared" si="3"/>
        <v/>
      </c>
      <c r="AD7" s="26" t="str">
        <f t="shared" si="3"/>
        <v/>
      </c>
      <c r="AE7" s="26" t="str">
        <f t="shared" si="4"/>
        <v/>
      </c>
      <c r="AF7" s="26" t="str">
        <f t="shared" si="5"/>
        <v/>
      </c>
      <c r="AG7" s="26" t="str">
        <f t="shared" si="6"/>
        <v/>
      </c>
    </row>
    <row r="8" spans="1:33" x14ac:dyDescent="0.25">
      <c r="A8" s="88" t="s">
        <v>60</v>
      </c>
      <c r="B8" s="14">
        <v>15423.76</v>
      </c>
      <c r="C8" s="14">
        <v>12304.66</v>
      </c>
      <c r="D8" s="14">
        <v>7433.4299999999903</v>
      </c>
      <c r="E8" s="14">
        <v>4890.96</v>
      </c>
      <c r="F8" s="14">
        <v>2958.49</v>
      </c>
      <c r="G8" s="14">
        <v>1996.92</v>
      </c>
      <c r="H8" s="14">
        <v>1227.6300000000001</v>
      </c>
      <c r="I8" s="14">
        <v>1269.56</v>
      </c>
      <c r="J8" s="14">
        <f t="shared" si="0"/>
        <v>19776.989999999991</v>
      </c>
      <c r="K8" s="14">
        <v>900.68</v>
      </c>
      <c r="L8" s="14">
        <v>807.52</v>
      </c>
      <c r="M8" s="14">
        <v>733.20500000000004</v>
      </c>
      <c r="N8" s="14">
        <v>170.36</v>
      </c>
      <c r="O8" s="14">
        <v>248.55</v>
      </c>
      <c r="P8" s="14">
        <v>0</v>
      </c>
      <c r="Q8" s="14">
        <v>361.05</v>
      </c>
      <c r="R8" s="14">
        <v>304.70999999999998</v>
      </c>
      <c r="S8" s="14">
        <v>327.13</v>
      </c>
      <c r="T8" s="14">
        <v>89.65</v>
      </c>
      <c r="U8" s="14">
        <v>368.95</v>
      </c>
      <c r="V8" s="14">
        <v>196.18</v>
      </c>
      <c r="W8" s="14">
        <f t="shared" si="1"/>
        <v>4507.9850000000006</v>
      </c>
      <c r="X8" s="14">
        <v>2180.3200000000002</v>
      </c>
      <c r="Y8" s="14">
        <v>894.2</v>
      </c>
      <c r="Z8" s="14">
        <f t="shared" si="2"/>
        <v>3074.5200000000004</v>
      </c>
      <c r="AB8" s="88" t="s">
        <v>60</v>
      </c>
      <c r="AC8" s="26">
        <f t="shared" si="3"/>
        <v>0.27998445757113882</v>
      </c>
      <c r="AD8" s="26">
        <f t="shared" si="3"/>
        <v>0.22336405362228723</v>
      </c>
      <c r="AE8" s="26">
        <f t="shared" si="4"/>
        <v>0.35900777874784323</v>
      </c>
      <c r="AF8" s="26">
        <f t="shared" si="5"/>
        <v>8.183255801204313E-2</v>
      </c>
      <c r="AG8" s="26">
        <f t="shared" si="6"/>
        <v>5.5811152046687566E-2</v>
      </c>
    </row>
    <row r="9" spans="1:33" x14ac:dyDescent="0.25">
      <c r="A9" s="88" t="s">
        <v>53</v>
      </c>
      <c r="B9" s="14">
        <v>868.12</v>
      </c>
      <c r="C9" s="14">
        <v>525.89</v>
      </c>
      <c r="D9" s="14">
        <v>300.19</v>
      </c>
      <c r="E9" s="14">
        <v>150.63</v>
      </c>
      <c r="F9" s="14">
        <v>181.91</v>
      </c>
      <c r="G9" s="14">
        <v>138.88</v>
      </c>
      <c r="H9" s="14">
        <v>63.01</v>
      </c>
      <c r="I9" s="14">
        <v>75.63</v>
      </c>
      <c r="J9" s="14">
        <f t="shared" si="0"/>
        <v>910.25</v>
      </c>
      <c r="K9" s="14">
        <v>84.35</v>
      </c>
      <c r="L9" s="14">
        <v>49.68</v>
      </c>
      <c r="M9" s="14">
        <v>0</v>
      </c>
      <c r="N9" s="14">
        <v>110.47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f t="shared" si="1"/>
        <v>244.5</v>
      </c>
      <c r="X9" s="14">
        <v>110.5</v>
      </c>
      <c r="Y9" s="14">
        <v>0</v>
      </c>
      <c r="Z9" s="14">
        <f t="shared" si="2"/>
        <v>110.5</v>
      </c>
      <c r="AB9" s="88" t="s">
        <v>53</v>
      </c>
      <c r="AC9" s="26">
        <f t="shared" si="3"/>
        <v>0.32645171965133157</v>
      </c>
      <c r="AD9" s="26">
        <f t="shared" si="3"/>
        <v>0.19775802290862871</v>
      </c>
      <c r="AE9" s="26">
        <f t="shared" si="4"/>
        <v>0.34229447289847548</v>
      </c>
      <c r="AF9" s="26">
        <f t="shared" si="5"/>
        <v>9.194287132510548E-2</v>
      </c>
      <c r="AG9" s="26">
        <f t="shared" si="6"/>
        <v>4.1552913216458709E-2</v>
      </c>
    </row>
    <row r="10" spans="1:33" x14ac:dyDescent="0.25">
      <c r="A10" s="88" t="s">
        <v>52</v>
      </c>
      <c r="B10" s="14">
        <v>25594.3850000001</v>
      </c>
      <c r="C10" s="14">
        <v>20248.02</v>
      </c>
      <c r="D10" s="14">
        <v>13858.03</v>
      </c>
      <c r="E10" s="14">
        <v>9001.02</v>
      </c>
      <c r="F10" s="14">
        <v>7016.5800000000099</v>
      </c>
      <c r="G10" s="14">
        <v>5361.82</v>
      </c>
      <c r="H10" s="14">
        <v>4116.01</v>
      </c>
      <c r="I10" s="14">
        <v>4365.58</v>
      </c>
      <c r="J10" s="14">
        <f t="shared" si="0"/>
        <v>43719.040000000015</v>
      </c>
      <c r="K10" s="14">
        <v>4757.67</v>
      </c>
      <c r="L10" s="14">
        <v>3118.28</v>
      </c>
      <c r="M10" s="14">
        <v>2814.41</v>
      </c>
      <c r="N10" s="14">
        <v>2244.27</v>
      </c>
      <c r="O10" s="14">
        <v>2140.13</v>
      </c>
      <c r="P10" s="14">
        <v>1615.66</v>
      </c>
      <c r="Q10" s="14">
        <v>1666.44</v>
      </c>
      <c r="R10" s="14">
        <v>3030.54</v>
      </c>
      <c r="S10" s="14">
        <v>1386.64</v>
      </c>
      <c r="T10" s="14">
        <v>1486.63</v>
      </c>
      <c r="U10" s="14">
        <v>1481.82</v>
      </c>
      <c r="V10" s="14">
        <v>588.76</v>
      </c>
      <c r="W10" s="14">
        <f t="shared" si="1"/>
        <v>26331.25</v>
      </c>
      <c r="X10" s="14">
        <v>5626.06</v>
      </c>
      <c r="Y10" s="14">
        <v>12036.49</v>
      </c>
      <c r="Z10" s="14">
        <f t="shared" si="2"/>
        <v>17662.55</v>
      </c>
      <c r="AB10" s="88" t="s">
        <v>52</v>
      </c>
      <c r="AC10" s="26">
        <f t="shared" si="3"/>
        <v>0.19163893563296655</v>
      </c>
      <c r="AD10" s="26">
        <f t="shared" si="3"/>
        <v>0.15160782341419826</v>
      </c>
      <c r="AE10" s="26">
        <f t="shared" si="4"/>
        <v>0.32734798247721369</v>
      </c>
      <c r="AF10" s="26">
        <f t="shared" si="5"/>
        <v>0.19715624047561725</v>
      </c>
      <c r="AG10" s="26">
        <f t="shared" si="6"/>
        <v>0.1322490180000043</v>
      </c>
    </row>
    <row r="11" spans="1:33" x14ac:dyDescent="0.25">
      <c r="A11" s="88" t="s">
        <v>65</v>
      </c>
      <c r="B11" s="14">
        <v>0.38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f t="shared" si="0"/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f t="shared" si="1"/>
        <v>0</v>
      </c>
      <c r="X11" s="14">
        <v>0</v>
      </c>
      <c r="Y11" s="14">
        <v>0</v>
      </c>
      <c r="Z11" s="14">
        <f t="shared" si="2"/>
        <v>0</v>
      </c>
      <c r="AB11" s="88" t="s">
        <v>65</v>
      </c>
      <c r="AC11" s="26">
        <f t="shared" si="3"/>
        <v>1</v>
      </c>
      <c r="AD11" s="26">
        <f t="shared" si="3"/>
        <v>0</v>
      </c>
      <c r="AE11" s="26">
        <f t="shared" si="4"/>
        <v>0</v>
      </c>
      <c r="AF11" s="26">
        <f t="shared" si="5"/>
        <v>0</v>
      </c>
      <c r="AG11" s="26">
        <f t="shared" si="6"/>
        <v>0</v>
      </c>
    </row>
    <row r="12" spans="1:33" x14ac:dyDescent="0.25">
      <c r="A12" s="88" t="s">
        <v>51</v>
      </c>
      <c r="B12" s="14">
        <v>13535.1775000001</v>
      </c>
      <c r="C12" s="14">
        <v>8535.6000000000095</v>
      </c>
      <c r="D12" s="14">
        <v>4242.46</v>
      </c>
      <c r="E12" s="14">
        <v>2308.9</v>
      </c>
      <c r="F12" s="14">
        <v>1269.79</v>
      </c>
      <c r="G12" s="14">
        <v>630.28</v>
      </c>
      <c r="H12" s="14">
        <v>685.31</v>
      </c>
      <c r="I12" s="14">
        <v>299.02</v>
      </c>
      <c r="J12" s="14">
        <f t="shared" si="0"/>
        <v>9435.76</v>
      </c>
      <c r="K12" s="14">
        <v>216.55</v>
      </c>
      <c r="L12" s="14">
        <v>93.44</v>
      </c>
      <c r="M12" s="14">
        <v>0</v>
      </c>
      <c r="N12" s="14">
        <v>174.47</v>
      </c>
      <c r="O12" s="14">
        <v>63.53</v>
      </c>
      <c r="P12" s="14">
        <v>136.51</v>
      </c>
      <c r="Q12" s="14">
        <v>73.83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f t="shared" si="1"/>
        <v>758.33</v>
      </c>
      <c r="X12" s="14">
        <v>216.17</v>
      </c>
      <c r="Y12" s="14">
        <v>1422.27</v>
      </c>
      <c r="Z12" s="14">
        <f t="shared" si="2"/>
        <v>1638.44</v>
      </c>
      <c r="AB12" s="88" t="s">
        <v>51</v>
      </c>
      <c r="AC12" s="26">
        <f t="shared" si="3"/>
        <v>0.39922882155376893</v>
      </c>
      <c r="AD12" s="26">
        <f t="shared" si="3"/>
        <v>0.251763047012448</v>
      </c>
      <c r="AE12" s="26">
        <f t="shared" si="4"/>
        <v>0.27831384887742794</v>
      </c>
      <c r="AF12" s="26">
        <f t="shared" si="5"/>
        <v>2.2367434209774297E-2</v>
      </c>
      <c r="AG12" s="26">
        <f t="shared" si="6"/>
        <v>4.8326848346580777E-2</v>
      </c>
    </row>
    <row r="13" spans="1:33" x14ac:dyDescent="0.25">
      <c r="A13" s="88" t="s">
        <v>54</v>
      </c>
      <c r="B13" s="14">
        <v>1704.11</v>
      </c>
      <c r="C13" s="14">
        <v>1270.92</v>
      </c>
      <c r="D13" s="14">
        <v>909.51</v>
      </c>
      <c r="E13" s="14">
        <v>507.25</v>
      </c>
      <c r="F13" s="14">
        <v>465.76</v>
      </c>
      <c r="G13" s="14">
        <v>385.26</v>
      </c>
      <c r="H13" s="14">
        <v>254.31</v>
      </c>
      <c r="I13" s="14">
        <v>300.37</v>
      </c>
      <c r="J13" s="14">
        <f t="shared" si="0"/>
        <v>2822.4599999999996</v>
      </c>
      <c r="K13" s="14">
        <v>167.65</v>
      </c>
      <c r="L13" s="14">
        <v>381.42</v>
      </c>
      <c r="M13" s="14">
        <v>104.72</v>
      </c>
      <c r="N13" s="14">
        <v>56.8</v>
      </c>
      <c r="O13" s="14">
        <v>187.41</v>
      </c>
      <c r="P13" s="14">
        <v>66.010000000000005</v>
      </c>
      <c r="Q13" s="14">
        <v>72.930000000000007</v>
      </c>
      <c r="R13" s="14">
        <v>155.25</v>
      </c>
      <c r="S13" s="14">
        <v>82.2</v>
      </c>
      <c r="T13" s="14">
        <v>86.25</v>
      </c>
      <c r="U13" s="14">
        <v>90.65</v>
      </c>
      <c r="V13" s="14">
        <v>97.86</v>
      </c>
      <c r="W13" s="14">
        <f t="shared" si="1"/>
        <v>1549.15</v>
      </c>
      <c r="X13" s="14">
        <v>1001.46</v>
      </c>
      <c r="Y13" s="14">
        <v>1851.2</v>
      </c>
      <c r="Z13" s="14">
        <f t="shared" si="2"/>
        <v>2852.66</v>
      </c>
      <c r="AB13" s="88" t="s">
        <v>54</v>
      </c>
      <c r="AC13" s="26">
        <f t="shared" si="3"/>
        <v>0.16708107419136609</v>
      </c>
      <c r="AD13" s="26">
        <f t="shared" si="3"/>
        <v>0.12460855156726444</v>
      </c>
      <c r="AE13" s="26">
        <f>IFERROR(J13/SUM($B13+$C13+$J13+$W13+$Z13),"")</f>
        <v>0.2767307560322767</v>
      </c>
      <c r="AF13" s="26">
        <f t="shared" si="5"/>
        <v>0.15188787465806478</v>
      </c>
      <c r="AG13" s="26">
        <f t="shared" si="6"/>
        <v>0.27969174355102799</v>
      </c>
    </row>
    <row r="14" spans="1:33" x14ac:dyDescent="0.25">
      <c r="A14" s="88" t="s">
        <v>67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f t="shared" si="0"/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f t="shared" si="1"/>
        <v>0</v>
      </c>
      <c r="X14" s="14">
        <v>0</v>
      </c>
      <c r="Y14" s="14">
        <v>0</v>
      </c>
      <c r="Z14" s="14">
        <f t="shared" si="2"/>
        <v>0</v>
      </c>
      <c r="AB14" s="88" t="s">
        <v>67</v>
      </c>
      <c r="AC14" s="26" t="str">
        <f t="shared" si="3"/>
        <v/>
      </c>
      <c r="AD14" s="26" t="str">
        <f t="shared" si="3"/>
        <v/>
      </c>
      <c r="AE14" s="26" t="str">
        <f>IFERROR(J14/SUM($B14+$C14+$J14+$W14+$Z14),"")</f>
        <v/>
      </c>
      <c r="AF14" s="26" t="str">
        <f t="shared" si="5"/>
        <v/>
      </c>
      <c r="AG14" s="26" t="str">
        <f t="shared" si="6"/>
        <v/>
      </c>
    </row>
    <row r="15" spans="1:33" x14ac:dyDescent="0.25">
      <c r="A15" s="88" t="s">
        <v>75</v>
      </c>
      <c r="B15" s="14">
        <v>2293.7170000000001</v>
      </c>
      <c r="C15" s="14">
        <v>643.39499999999998</v>
      </c>
      <c r="D15" s="14">
        <v>374</v>
      </c>
      <c r="E15" s="14">
        <v>132.08500000000001</v>
      </c>
      <c r="F15" s="14">
        <v>90.47</v>
      </c>
      <c r="G15" s="14">
        <v>28.65</v>
      </c>
      <c r="H15" s="14">
        <v>99.9</v>
      </c>
      <c r="I15" s="14">
        <v>37.090000000000003</v>
      </c>
      <c r="J15" s="14">
        <f t="shared" si="0"/>
        <v>762.19500000000005</v>
      </c>
      <c r="K15" s="14">
        <v>42.17</v>
      </c>
      <c r="L15" s="14">
        <v>0</v>
      </c>
      <c r="M15" s="14">
        <v>52.92</v>
      </c>
      <c r="N15" s="14">
        <v>0</v>
      </c>
      <c r="O15" s="14">
        <v>0</v>
      </c>
      <c r="P15" s="14">
        <v>67.95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f t="shared" si="1"/>
        <v>163.04000000000002</v>
      </c>
      <c r="X15" s="14">
        <v>114.01</v>
      </c>
      <c r="Y15" s="14">
        <v>0</v>
      </c>
      <c r="Z15" s="14">
        <f t="shared" si="2"/>
        <v>114.01</v>
      </c>
      <c r="AB15" s="88" t="s">
        <v>75</v>
      </c>
      <c r="AC15" s="26">
        <f t="shared" si="3"/>
        <v>0.57683879993672593</v>
      </c>
      <c r="AD15" s="26">
        <f t="shared" si="3"/>
        <v>0.16180513972965704</v>
      </c>
      <c r="AE15" s="26">
        <f t="shared" si="4"/>
        <v>0.19168173280216036</v>
      </c>
      <c r="AF15" s="26">
        <f t="shared" si="5"/>
        <v>4.1002354667853014E-2</v>
      </c>
      <c r="AG15" s="26">
        <f t="shared" si="6"/>
        <v>2.8671972863603543E-2</v>
      </c>
    </row>
    <row r="16" spans="1:33" x14ac:dyDescent="0.25">
      <c r="A16" s="88" t="s">
        <v>55</v>
      </c>
      <c r="B16" s="14">
        <v>2100.8069999999998</v>
      </c>
      <c r="C16" s="14">
        <v>1525.3009999999999</v>
      </c>
      <c r="D16" s="14">
        <v>794.84</v>
      </c>
      <c r="E16" s="14">
        <v>491.94299999999998</v>
      </c>
      <c r="F16" s="14">
        <v>290.77</v>
      </c>
      <c r="G16" s="14">
        <v>330.392</v>
      </c>
      <c r="H16" s="14">
        <v>102.08</v>
      </c>
      <c r="I16" s="14">
        <v>77.28</v>
      </c>
      <c r="J16" s="14">
        <f t="shared" si="0"/>
        <v>2087.3049999999998</v>
      </c>
      <c r="K16" s="14">
        <v>88.4</v>
      </c>
      <c r="L16" s="14">
        <v>46.95</v>
      </c>
      <c r="M16" s="14">
        <v>0</v>
      </c>
      <c r="N16" s="14">
        <v>59.53</v>
      </c>
      <c r="O16" s="14">
        <v>0</v>
      </c>
      <c r="P16" s="14">
        <v>66.2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f t="shared" si="1"/>
        <v>261.08000000000004</v>
      </c>
      <c r="X16" s="14">
        <v>109.63</v>
      </c>
      <c r="Y16" s="14">
        <v>0</v>
      </c>
      <c r="Z16" s="14">
        <f t="shared" si="2"/>
        <v>109.63</v>
      </c>
      <c r="AB16" s="88" t="s">
        <v>55</v>
      </c>
      <c r="AC16" s="26">
        <f t="shared" si="3"/>
        <v>0.34529331507597727</v>
      </c>
      <c r="AD16" s="26">
        <f t="shared" si="3"/>
        <v>0.25070186779590092</v>
      </c>
      <c r="AE16" s="26">
        <f t="shared" si="4"/>
        <v>0.34307409629949953</v>
      </c>
      <c r="AF16" s="26">
        <f t="shared" si="5"/>
        <v>4.2911689983913877E-2</v>
      </c>
      <c r="AG16" s="26">
        <f t="shared" si="6"/>
        <v>1.8019030844708434E-2</v>
      </c>
    </row>
    <row r="17" spans="1:33" x14ac:dyDescent="0.25">
      <c r="A17" s="88" t="s">
        <v>80</v>
      </c>
      <c r="B17" s="14">
        <v>63.5</v>
      </c>
      <c r="C17" s="14">
        <v>14.78</v>
      </c>
      <c r="D17" s="14">
        <v>25.25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f t="shared" si="0"/>
        <v>25.25</v>
      </c>
      <c r="K17" s="14">
        <v>42.68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87.76</v>
      </c>
      <c r="U17" s="14">
        <v>0</v>
      </c>
      <c r="V17" s="14">
        <v>0</v>
      </c>
      <c r="W17" s="14">
        <f t="shared" si="1"/>
        <v>130.44</v>
      </c>
      <c r="X17" s="14">
        <v>0</v>
      </c>
      <c r="Y17" s="14">
        <v>0</v>
      </c>
      <c r="Z17" s="14">
        <f t="shared" si="2"/>
        <v>0</v>
      </c>
      <c r="AB17" s="88" t="s">
        <v>80</v>
      </c>
      <c r="AC17" s="26">
        <f t="shared" si="3"/>
        <v>0.27140231653630809</v>
      </c>
      <c r="AD17" s="26">
        <f t="shared" si="3"/>
        <v>6.3170491943411552E-2</v>
      </c>
      <c r="AE17" s="26">
        <f t="shared" si="4"/>
        <v>0.1079198187801855</v>
      </c>
      <c r="AF17" s="26">
        <f t="shared" si="5"/>
        <v>0.55750737274009488</v>
      </c>
      <c r="AG17" s="26">
        <f t="shared" si="6"/>
        <v>0</v>
      </c>
    </row>
    <row r="18" spans="1:33" x14ac:dyDescent="0.25">
      <c r="A18" s="88" t="s">
        <v>56</v>
      </c>
      <c r="B18" s="14">
        <v>7028.57</v>
      </c>
      <c r="C18" s="14">
        <v>10239.11</v>
      </c>
      <c r="D18" s="14">
        <v>7990.6550000000097</v>
      </c>
      <c r="E18" s="14">
        <v>6445.1899999999896</v>
      </c>
      <c r="F18" s="14">
        <v>4946.78</v>
      </c>
      <c r="G18" s="14">
        <v>4475.26</v>
      </c>
      <c r="H18" s="14">
        <v>3712.67</v>
      </c>
      <c r="I18" s="14">
        <v>3209.68</v>
      </c>
      <c r="J18" s="14">
        <f t="shared" si="0"/>
        <v>30780.235000000001</v>
      </c>
      <c r="K18" s="14">
        <v>2719.2</v>
      </c>
      <c r="L18" s="14">
        <v>2542.14</v>
      </c>
      <c r="M18" s="14">
        <v>1728.83</v>
      </c>
      <c r="N18" s="14">
        <v>1898.54</v>
      </c>
      <c r="O18" s="14">
        <v>1119.24</v>
      </c>
      <c r="P18" s="14">
        <v>1480.61</v>
      </c>
      <c r="Q18" s="14">
        <v>1377.67</v>
      </c>
      <c r="R18" s="14">
        <v>1074.93</v>
      </c>
      <c r="S18" s="14">
        <v>1073.04</v>
      </c>
      <c r="T18" s="14">
        <v>1666.87</v>
      </c>
      <c r="U18" s="14">
        <v>656.44</v>
      </c>
      <c r="V18" s="14">
        <v>1169.96</v>
      </c>
      <c r="W18" s="14">
        <f t="shared" si="1"/>
        <v>18507.469999999998</v>
      </c>
      <c r="X18" s="14">
        <v>3818.9</v>
      </c>
      <c r="Y18" s="14">
        <v>5713.07</v>
      </c>
      <c r="Z18" s="14">
        <f t="shared" si="2"/>
        <v>9531.9699999999993</v>
      </c>
      <c r="AB18" s="88" t="s">
        <v>56</v>
      </c>
      <c r="AC18" s="26">
        <f t="shared" si="3"/>
        <v>9.2375007647459956E-2</v>
      </c>
      <c r="AD18" s="26">
        <f t="shared" si="3"/>
        <v>0.13457045523530159</v>
      </c>
      <c r="AE18" s="26">
        <f t="shared" si="4"/>
        <v>0.40453811280468355</v>
      </c>
      <c r="AF18" s="26">
        <f t="shared" si="5"/>
        <v>0.2432397604043405</v>
      </c>
      <c r="AG18" s="26">
        <f t="shared" si="6"/>
        <v>0.12527666390821443</v>
      </c>
    </row>
    <row r="19" spans="1:33" x14ac:dyDescent="0.25">
      <c r="A19" s="88" t="s">
        <v>57</v>
      </c>
      <c r="B19" s="14">
        <v>1345.86</v>
      </c>
      <c r="C19" s="14">
        <v>423.95</v>
      </c>
      <c r="D19" s="14">
        <v>179.36</v>
      </c>
      <c r="E19" s="14">
        <v>256.29000000000002</v>
      </c>
      <c r="F19" s="14">
        <v>130.47999999999999</v>
      </c>
      <c r="G19" s="14">
        <v>105.59</v>
      </c>
      <c r="H19" s="14">
        <v>0</v>
      </c>
      <c r="I19" s="14">
        <v>37.96</v>
      </c>
      <c r="J19" s="14">
        <f t="shared" si="0"/>
        <v>709.68000000000006</v>
      </c>
      <c r="K19" s="14">
        <v>40.69</v>
      </c>
      <c r="L19" s="14">
        <v>0</v>
      </c>
      <c r="M19" s="14">
        <v>52.51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174.09</v>
      </c>
      <c r="U19" s="14">
        <v>0</v>
      </c>
      <c r="V19" s="14">
        <v>0</v>
      </c>
      <c r="W19" s="14">
        <f t="shared" si="1"/>
        <v>267.28999999999996</v>
      </c>
      <c r="X19" s="14">
        <v>106.85</v>
      </c>
      <c r="Y19" s="14">
        <v>0</v>
      </c>
      <c r="Z19" s="14">
        <f t="shared" si="2"/>
        <v>106.85</v>
      </c>
      <c r="AB19" s="88" t="s">
        <v>57</v>
      </c>
      <c r="AC19" s="26">
        <f t="shared" si="3"/>
        <v>0.47163087015485544</v>
      </c>
      <c r="AD19" s="26">
        <f t="shared" si="3"/>
        <v>0.14856516086528387</v>
      </c>
      <c r="AE19" s="26">
        <f t="shared" si="4"/>
        <v>0.248693768988972</v>
      </c>
      <c r="AF19" s="26">
        <f t="shared" si="5"/>
        <v>9.3666663162358124E-2</v>
      </c>
      <c r="AG19" s="26">
        <f t="shared" si="6"/>
        <v>3.7443536828530681E-2</v>
      </c>
    </row>
    <row r="20" spans="1:33" x14ac:dyDescent="0.25">
      <c r="A20" s="88" t="s">
        <v>86</v>
      </c>
      <c r="B20" s="14">
        <v>8.58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f t="shared" si="0"/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f t="shared" si="1"/>
        <v>0</v>
      </c>
      <c r="X20" s="14">
        <v>0</v>
      </c>
      <c r="Y20" s="14">
        <v>0</v>
      </c>
      <c r="Z20" s="14">
        <f t="shared" si="2"/>
        <v>0</v>
      </c>
      <c r="AB20" s="88" t="s">
        <v>86</v>
      </c>
      <c r="AC20" s="26">
        <f t="shared" si="3"/>
        <v>1</v>
      </c>
      <c r="AD20" s="26">
        <f t="shared" si="3"/>
        <v>0</v>
      </c>
      <c r="AE20" s="26">
        <f t="shared" si="4"/>
        <v>0</v>
      </c>
      <c r="AF20" s="26">
        <f t="shared" si="5"/>
        <v>0</v>
      </c>
      <c r="AG20" s="26">
        <f t="shared" si="6"/>
        <v>0</v>
      </c>
    </row>
    <row r="21" spans="1:33" x14ac:dyDescent="0.25">
      <c r="A21" s="95" t="s">
        <v>59</v>
      </c>
      <c r="B21" s="96">
        <v>103060.02683333401</v>
      </c>
      <c r="C21" s="96">
        <v>91769.655999999595</v>
      </c>
      <c r="D21" s="96">
        <v>62404.974999999999</v>
      </c>
      <c r="E21" s="96">
        <v>43916.438000000002</v>
      </c>
      <c r="F21" s="96">
        <v>34729.839999999997</v>
      </c>
      <c r="G21" s="96">
        <v>27229.941999999999</v>
      </c>
      <c r="H21" s="96">
        <v>20068.93</v>
      </c>
      <c r="I21" s="96">
        <v>18215.8</v>
      </c>
      <c r="J21" s="61">
        <f t="shared" si="0"/>
        <v>206565.92499999999</v>
      </c>
      <c r="K21" s="96">
        <v>16117.91</v>
      </c>
      <c r="L21" s="96">
        <v>13901.38</v>
      </c>
      <c r="M21" s="96">
        <v>10941.145</v>
      </c>
      <c r="N21" s="96">
        <v>9500.0499999999993</v>
      </c>
      <c r="O21" s="96">
        <v>7384.91</v>
      </c>
      <c r="P21" s="96">
        <v>6532.65</v>
      </c>
      <c r="Q21" s="96">
        <v>7171.67</v>
      </c>
      <c r="R21" s="96">
        <v>6658.65</v>
      </c>
      <c r="S21" s="96">
        <v>5576.86</v>
      </c>
      <c r="T21" s="96">
        <v>5927.81</v>
      </c>
      <c r="U21" s="96">
        <v>4722.76</v>
      </c>
      <c r="V21" s="96">
        <v>3515.18</v>
      </c>
      <c r="W21" s="61">
        <f t="shared" si="1"/>
        <v>97950.974999999991</v>
      </c>
      <c r="X21" s="96">
        <v>23134.785</v>
      </c>
      <c r="Y21" s="96">
        <v>36693.160000000003</v>
      </c>
      <c r="Z21" s="61">
        <f t="shared" si="2"/>
        <v>59827.945000000007</v>
      </c>
      <c r="AB21" s="95" t="s">
        <v>59</v>
      </c>
      <c r="AC21" s="101">
        <f t="shared" si="3"/>
        <v>0.18430744195853618</v>
      </c>
      <c r="AD21" s="101">
        <f t="shared" si="3"/>
        <v>0.16411630257119342</v>
      </c>
      <c r="AE21" s="62">
        <f t="shared" si="4"/>
        <v>0.36941225810194378</v>
      </c>
      <c r="AF21" s="62">
        <f t="shared" si="5"/>
        <v>0.17517066698216099</v>
      </c>
      <c r="AG21" s="62">
        <f t="shared" si="6"/>
        <v>0.10699333038616558</v>
      </c>
    </row>
    <row r="24" spans="1:33" x14ac:dyDescent="0.25">
      <c r="A24" s="310" t="s">
        <v>147</v>
      </c>
      <c r="B24" s="310"/>
      <c r="C24" s="93"/>
      <c r="D24" s="92"/>
      <c r="AB24" s="310" t="s">
        <v>147</v>
      </c>
      <c r="AC24" s="310"/>
    </row>
    <row r="25" spans="1:33" ht="15.75" x14ac:dyDescent="0.25">
      <c r="A25" s="97" t="s">
        <v>94</v>
      </c>
      <c r="B25" s="98" t="s">
        <v>117</v>
      </c>
      <c r="C25" s="98" t="s">
        <v>118</v>
      </c>
      <c r="D25" s="98" t="s">
        <v>119</v>
      </c>
      <c r="E25" s="98" t="s">
        <v>120</v>
      </c>
      <c r="F25" s="98" t="s">
        <v>121</v>
      </c>
      <c r="G25" s="98" t="s">
        <v>122</v>
      </c>
      <c r="H25" s="98" t="s">
        <v>123</v>
      </c>
      <c r="I25" s="98" t="s">
        <v>124</v>
      </c>
      <c r="J25" s="99" t="s">
        <v>125</v>
      </c>
      <c r="K25" s="98" t="s">
        <v>126</v>
      </c>
      <c r="L25" s="98" t="s">
        <v>127</v>
      </c>
      <c r="M25" s="98" t="s">
        <v>128</v>
      </c>
      <c r="N25" s="98" t="s">
        <v>129</v>
      </c>
      <c r="O25" s="98" t="s">
        <v>130</v>
      </c>
      <c r="P25" s="98" t="s">
        <v>131</v>
      </c>
      <c r="Q25" s="98" t="s">
        <v>132</v>
      </c>
      <c r="R25" s="98" t="s">
        <v>133</v>
      </c>
      <c r="S25" s="98" t="s">
        <v>134</v>
      </c>
      <c r="T25" s="98" t="s">
        <v>135</v>
      </c>
      <c r="U25" s="98" t="s">
        <v>136</v>
      </c>
      <c r="V25" s="98" t="s">
        <v>137</v>
      </c>
      <c r="W25" s="99" t="s">
        <v>138</v>
      </c>
      <c r="X25" s="98" t="s">
        <v>139</v>
      </c>
      <c r="Y25" s="98" t="s">
        <v>140</v>
      </c>
      <c r="Z25" s="99" t="s">
        <v>141</v>
      </c>
      <c r="AB25" s="97" t="s">
        <v>94</v>
      </c>
      <c r="AC25" s="98" t="s">
        <v>117</v>
      </c>
      <c r="AD25" s="98" t="s">
        <v>118</v>
      </c>
      <c r="AE25" s="100" t="s">
        <v>125</v>
      </c>
      <c r="AF25" s="99" t="s">
        <v>138</v>
      </c>
      <c r="AG25" s="99" t="s">
        <v>141</v>
      </c>
    </row>
    <row r="26" spans="1:33" x14ac:dyDescent="0.25">
      <c r="A26" s="88" t="s">
        <v>49</v>
      </c>
      <c r="B26" s="14">
        <v>9279</v>
      </c>
      <c r="C26" s="14">
        <v>3183</v>
      </c>
      <c r="D26" s="14">
        <v>1340</v>
      </c>
      <c r="E26" s="14">
        <v>743</v>
      </c>
      <c r="F26" s="14">
        <v>510</v>
      </c>
      <c r="G26" s="14">
        <v>332</v>
      </c>
      <c r="H26" s="14">
        <v>209</v>
      </c>
      <c r="I26" s="14">
        <v>167</v>
      </c>
      <c r="J26" s="14">
        <f>SUM(D26:I26)</f>
        <v>3301</v>
      </c>
      <c r="K26" s="14">
        <v>127</v>
      </c>
      <c r="L26" s="14">
        <v>104</v>
      </c>
      <c r="M26" s="14">
        <v>89</v>
      </c>
      <c r="N26" s="14">
        <v>62</v>
      </c>
      <c r="O26" s="14">
        <v>50</v>
      </c>
      <c r="P26" s="14">
        <v>40</v>
      </c>
      <c r="Q26" s="14">
        <v>42</v>
      </c>
      <c r="R26" s="14">
        <v>25</v>
      </c>
      <c r="S26" s="14">
        <v>26</v>
      </c>
      <c r="T26" s="14">
        <v>23</v>
      </c>
      <c r="U26" s="14">
        <v>19</v>
      </c>
      <c r="V26" s="14">
        <v>12</v>
      </c>
      <c r="W26" s="14">
        <f>SUM(K26:V26)</f>
        <v>619</v>
      </c>
      <c r="X26" s="14">
        <v>68</v>
      </c>
      <c r="Y26" s="14">
        <v>41</v>
      </c>
      <c r="Z26" s="14">
        <f>SUM(X26:Y26)</f>
        <v>109</v>
      </c>
      <c r="AB26" s="88" t="s">
        <v>49</v>
      </c>
      <c r="AC26" s="26">
        <f>IFERROR(B26/SUM($B26+$C26+$J26+$W26+$Z26),"")</f>
        <v>0.56267054757140256</v>
      </c>
      <c r="AD26" s="26">
        <f>IFERROR(C26/SUM($B26+$C26+$J26+$W26+$Z26),"")</f>
        <v>0.19301437147535019</v>
      </c>
      <c r="AE26" s="26">
        <f>IFERROR(J26/SUM($B26+$C26+$J26+$W26+$Z26),"")</f>
        <v>0.20016978958219636</v>
      </c>
      <c r="AF26" s="26">
        <f>IFERROR(W26/SUM($B26+$C26+$J26+$W26+$Z26),"")</f>
        <v>3.7535625492692987E-2</v>
      </c>
      <c r="AG26" s="26">
        <f>IFERROR(Z26/SUM($B26+$C26+$J26+$W26+$Z26),"")</f>
        <v>6.6096658783578923E-3</v>
      </c>
    </row>
    <row r="27" spans="1:33" x14ac:dyDescent="0.25">
      <c r="A27" s="88" t="s">
        <v>50</v>
      </c>
      <c r="B27" s="14">
        <v>7941</v>
      </c>
      <c r="C27" s="14">
        <v>1899</v>
      </c>
      <c r="D27" s="14">
        <v>815</v>
      </c>
      <c r="E27" s="14">
        <v>402</v>
      </c>
      <c r="F27" s="14">
        <v>267</v>
      </c>
      <c r="G27" s="14">
        <v>171</v>
      </c>
      <c r="H27" s="14">
        <v>94</v>
      </c>
      <c r="I27" s="14">
        <v>61</v>
      </c>
      <c r="J27" s="14">
        <f t="shared" ref="J27:J42" si="7">SUM(D27:I27)</f>
        <v>1810</v>
      </c>
      <c r="K27" s="14">
        <v>40</v>
      </c>
      <c r="L27" s="14">
        <v>41</v>
      </c>
      <c r="M27" s="14">
        <v>15</v>
      </c>
      <c r="N27" s="14">
        <v>21</v>
      </c>
      <c r="O27" s="14">
        <v>8</v>
      </c>
      <c r="P27" s="14">
        <v>6</v>
      </c>
      <c r="Q27" s="14">
        <v>8</v>
      </c>
      <c r="R27" s="14">
        <v>2</v>
      </c>
      <c r="S27" s="14">
        <v>7</v>
      </c>
      <c r="T27" s="14">
        <v>4</v>
      </c>
      <c r="U27" s="14">
        <v>4</v>
      </c>
      <c r="V27" s="14">
        <v>3</v>
      </c>
      <c r="W27" s="14">
        <f t="shared" ref="W27:W42" si="8">SUM(K27:V27)</f>
        <v>159</v>
      </c>
      <c r="X27" s="14">
        <v>16</v>
      </c>
      <c r="Y27" s="14">
        <v>10</v>
      </c>
      <c r="Z27" s="14">
        <f t="shared" ref="Z27:Z42" si="9">SUM(X27:Y27)</f>
        <v>26</v>
      </c>
      <c r="AB27" s="88" t="s">
        <v>50</v>
      </c>
      <c r="AC27" s="26">
        <f t="shared" ref="AC27:AD42" si="10">IFERROR(B27/SUM($B27+$C27+$J27+$W27+$Z27),"")</f>
        <v>0.67097591888466412</v>
      </c>
      <c r="AD27" s="26">
        <f t="shared" si="10"/>
        <v>0.16045627376425856</v>
      </c>
      <c r="AE27" s="26">
        <f t="shared" ref="AE27:AE42" si="11">IFERROR(J27/SUM($B27+$C27+$J27+$W27+$Z27),"")</f>
        <v>0.15293620616814532</v>
      </c>
      <c r="AF27" s="26">
        <f t="shared" ref="AF27:AF42" si="12">IFERROR(W27/SUM($B27+$C27+$J27+$W27+$Z27),"")</f>
        <v>1.3434727503168568E-2</v>
      </c>
      <c r="AG27" s="26">
        <f t="shared" ref="AG27:AG42" si="13">IFERROR(Z27/SUM($B27+$C27+$J27+$W27+$Z27),"")</f>
        <v>2.1968736797634138E-3</v>
      </c>
    </row>
    <row r="28" spans="1:33" x14ac:dyDescent="0.25">
      <c r="A28" s="88" t="s">
        <v>63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f t="shared" si="7"/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f t="shared" si="8"/>
        <v>0</v>
      </c>
      <c r="X28" s="14">
        <v>0</v>
      </c>
      <c r="Y28" s="14">
        <v>0</v>
      </c>
      <c r="Z28" s="14">
        <f t="shared" si="9"/>
        <v>0</v>
      </c>
      <c r="AB28" s="88" t="s">
        <v>63</v>
      </c>
      <c r="AC28" s="26" t="str">
        <f t="shared" si="10"/>
        <v/>
      </c>
      <c r="AD28" s="26" t="str">
        <f t="shared" si="10"/>
        <v/>
      </c>
      <c r="AE28" s="26" t="str">
        <f t="shared" si="11"/>
        <v/>
      </c>
      <c r="AF28" s="26" t="str">
        <f t="shared" si="12"/>
        <v/>
      </c>
      <c r="AG28" s="26" t="str">
        <f t="shared" si="13"/>
        <v/>
      </c>
    </row>
    <row r="29" spans="1:33" x14ac:dyDescent="0.25">
      <c r="A29" s="88" t="s">
        <v>60</v>
      </c>
      <c r="B29" s="14">
        <v>9199</v>
      </c>
      <c r="C29" s="14">
        <v>1760</v>
      </c>
      <c r="D29" s="14">
        <v>616</v>
      </c>
      <c r="E29" s="14">
        <v>286</v>
      </c>
      <c r="F29" s="14">
        <v>133</v>
      </c>
      <c r="G29" s="14">
        <v>73</v>
      </c>
      <c r="H29" s="14">
        <v>38</v>
      </c>
      <c r="I29" s="14">
        <v>34</v>
      </c>
      <c r="J29" s="14">
        <f t="shared" si="7"/>
        <v>1180</v>
      </c>
      <c r="K29" s="14">
        <v>21</v>
      </c>
      <c r="L29" s="14">
        <v>17</v>
      </c>
      <c r="M29" s="14">
        <v>14</v>
      </c>
      <c r="N29" s="14">
        <v>3</v>
      </c>
      <c r="O29" s="14">
        <v>4</v>
      </c>
      <c r="P29" s="14">
        <v>0</v>
      </c>
      <c r="Q29" s="14">
        <v>5</v>
      </c>
      <c r="R29" s="14">
        <v>4</v>
      </c>
      <c r="S29" s="14">
        <v>4</v>
      </c>
      <c r="T29" s="14">
        <v>1</v>
      </c>
      <c r="U29" s="14">
        <v>4</v>
      </c>
      <c r="V29" s="14">
        <v>2</v>
      </c>
      <c r="W29" s="14">
        <f t="shared" si="8"/>
        <v>79</v>
      </c>
      <c r="X29" s="14">
        <v>19</v>
      </c>
      <c r="Y29" s="14">
        <v>5</v>
      </c>
      <c r="Z29" s="14">
        <f t="shared" si="9"/>
        <v>24</v>
      </c>
      <c r="AB29" s="88" t="s">
        <v>60</v>
      </c>
      <c r="AC29" s="26">
        <f t="shared" si="10"/>
        <v>0.75142950498284589</v>
      </c>
      <c r="AD29" s="26">
        <f t="shared" si="10"/>
        <v>0.1437673582747917</v>
      </c>
      <c r="AE29" s="26">
        <f t="shared" si="11"/>
        <v>9.6389478843326257E-2</v>
      </c>
      <c r="AF29" s="26">
        <f t="shared" si="12"/>
        <v>6.4531939225616732E-3</v>
      </c>
      <c r="AG29" s="26">
        <f t="shared" si="13"/>
        <v>1.9604639764744321E-3</v>
      </c>
    </row>
    <row r="30" spans="1:33" x14ac:dyDescent="0.25">
      <c r="A30" s="88" t="s">
        <v>53</v>
      </c>
      <c r="B30" s="14">
        <v>777</v>
      </c>
      <c r="C30" s="14">
        <v>75</v>
      </c>
      <c r="D30" s="14">
        <v>26</v>
      </c>
      <c r="E30" s="14">
        <v>9</v>
      </c>
      <c r="F30" s="14">
        <v>8</v>
      </c>
      <c r="G30" s="14">
        <v>5</v>
      </c>
      <c r="H30" s="14">
        <v>2</v>
      </c>
      <c r="I30" s="14">
        <v>2</v>
      </c>
      <c r="J30" s="14">
        <f t="shared" si="7"/>
        <v>52</v>
      </c>
      <c r="K30" s="14">
        <v>2</v>
      </c>
      <c r="L30" s="14">
        <v>1</v>
      </c>
      <c r="M30" s="14">
        <v>0</v>
      </c>
      <c r="N30" s="14">
        <v>2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f t="shared" si="8"/>
        <v>5</v>
      </c>
      <c r="X30" s="14">
        <v>1</v>
      </c>
      <c r="Y30" s="14">
        <v>0</v>
      </c>
      <c r="Z30" s="14">
        <f t="shared" si="9"/>
        <v>1</v>
      </c>
      <c r="AB30" s="88" t="s">
        <v>53</v>
      </c>
      <c r="AC30" s="26">
        <f t="shared" si="10"/>
        <v>0.85384615384615381</v>
      </c>
      <c r="AD30" s="26">
        <f t="shared" si="10"/>
        <v>8.2417582417582416E-2</v>
      </c>
      <c r="AE30" s="26">
        <f t="shared" si="11"/>
        <v>5.7142857142857141E-2</v>
      </c>
      <c r="AF30" s="26">
        <f t="shared" si="12"/>
        <v>5.4945054945054949E-3</v>
      </c>
      <c r="AG30" s="26">
        <f t="shared" si="13"/>
        <v>1.0989010989010989E-3</v>
      </c>
    </row>
    <row r="31" spans="1:33" x14ac:dyDescent="0.25">
      <c r="A31" s="88" t="s">
        <v>52</v>
      </c>
      <c r="B31" s="14">
        <v>14331</v>
      </c>
      <c r="C31" s="14">
        <v>2887</v>
      </c>
      <c r="D31" s="14">
        <v>1146</v>
      </c>
      <c r="E31" s="14">
        <v>521</v>
      </c>
      <c r="F31" s="14">
        <v>316</v>
      </c>
      <c r="G31" s="14">
        <v>196</v>
      </c>
      <c r="H31" s="14">
        <v>128</v>
      </c>
      <c r="I31" s="14">
        <v>116</v>
      </c>
      <c r="J31" s="14">
        <f t="shared" si="7"/>
        <v>2423</v>
      </c>
      <c r="K31" s="14">
        <v>113</v>
      </c>
      <c r="L31" s="14">
        <v>66</v>
      </c>
      <c r="M31" s="14">
        <v>54</v>
      </c>
      <c r="N31" s="14">
        <v>39</v>
      </c>
      <c r="O31" s="14">
        <v>34</v>
      </c>
      <c r="P31" s="14">
        <v>24</v>
      </c>
      <c r="Q31" s="14">
        <v>23</v>
      </c>
      <c r="R31" s="14">
        <v>39</v>
      </c>
      <c r="S31" s="14">
        <v>17</v>
      </c>
      <c r="T31" s="14">
        <v>17</v>
      </c>
      <c r="U31" s="14">
        <v>16</v>
      </c>
      <c r="V31" s="14">
        <v>6</v>
      </c>
      <c r="W31" s="14">
        <f t="shared" si="8"/>
        <v>448</v>
      </c>
      <c r="X31" s="14">
        <v>46</v>
      </c>
      <c r="Y31" s="14">
        <v>47</v>
      </c>
      <c r="Z31" s="14">
        <f t="shared" si="9"/>
        <v>93</v>
      </c>
      <c r="AB31" s="88" t="s">
        <v>52</v>
      </c>
      <c r="AC31" s="26">
        <f t="shared" si="10"/>
        <v>0.71008819740362694</v>
      </c>
      <c r="AD31" s="26">
        <f t="shared" si="10"/>
        <v>0.14304826082647903</v>
      </c>
      <c r="AE31" s="26">
        <f t="shared" si="11"/>
        <v>0.12005747695966704</v>
      </c>
      <c r="AF31" s="26">
        <f t="shared" si="12"/>
        <v>2.2197998216232286E-2</v>
      </c>
      <c r="AG31" s="26">
        <f t="shared" si="13"/>
        <v>4.6080665939946487E-3</v>
      </c>
    </row>
    <row r="32" spans="1:33" x14ac:dyDescent="0.25">
      <c r="A32" s="88" t="s">
        <v>65</v>
      </c>
      <c r="B32" s="14">
        <v>1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f t="shared" si="7"/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f t="shared" si="8"/>
        <v>0</v>
      </c>
      <c r="X32" s="14">
        <v>0</v>
      </c>
      <c r="Y32" s="14">
        <v>0</v>
      </c>
      <c r="Z32" s="14">
        <f t="shared" si="9"/>
        <v>0</v>
      </c>
      <c r="AB32" s="88" t="s">
        <v>65</v>
      </c>
      <c r="AC32" s="26">
        <f t="shared" si="10"/>
        <v>1</v>
      </c>
      <c r="AD32" s="26">
        <f t="shared" si="10"/>
        <v>0</v>
      </c>
      <c r="AE32" s="26">
        <f t="shared" si="11"/>
        <v>0</v>
      </c>
      <c r="AF32" s="26">
        <f t="shared" si="12"/>
        <v>0</v>
      </c>
      <c r="AG32" s="26">
        <f t="shared" si="13"/>
        <v>0</v>
      </c>
    </row>
    <row r="33" spans="1:33" x14ac:dyDescent="0.25">
      <c r="A33" s="88" t="s">
        <v>51</v>
      </c>
      <c r="B33" s="14">
        <v>9862</v>
      </c>
      <c r="C33" s="14">
        <v>1235</v>
      </c>
      <c r="D33" s="14">
        <v>352</v>
      </c>
      <c r="E33" s="14">
        <v>134</v>
      </c>
      <c r="F33" s="14">
        <v>57</v>
      </c>
      <c r="G33" s="14">
        <v>23</v>
      </c>
      <c r="H33" s="14">
        <v>21</v>
      </c>
      <c r="I33" s="14">
        <v>8</v>
      </c>
      <c r="J33" s="14">
        <f t="shared" si="7"/>
        <v>595</v>
      </c>
      <c r="K33" s="14">
        <v>5</v>
      </c>
      <c r="L33" s="14">
        <v>2</v>
      </c>
      <c r="M33" s="14">
        <v>0</v>
      </c>
      <c r="N33" s="14">
        <v>3</v>
      </c>
      <c r="O33" s="14">
        <v>1</v>
      </c>
      <c r="P33" s="14">
        <v>2</v>
      </c>
      <c r="Q33" s="14">
        <v>1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f t="shared" si="8"/>
        <v>14</v>
      </c>
      <c r="X33" s="14">
        <v>2</v>
      </c>
      <c r="Y33" s="14">
        <v>3</v>
      </c>
      <c r="Z33" s="14">
        <f t="shared" si="9"/>
        <v>5</v>
      </c>
      <c r="AB33" s="88" t="s">
        <v>51</v>
      </c>
      <c r="AC33" s="26">
        <f t="shared" si="10"/>
        <v>0.84211425155836395</v>
      </c>
      <c r="AD33" s="26">
        <f t="shared" si="10"/>
        <v>0.10545640850482453</v>
      </c>
      <c r="AE33" s="26">
        <f t="shared" si="11"/>
        <v>5.0806933652121938E-2</v>
      </c>
      <c r="AF33" s="26">
        <f t="shared" si="12"/>
        <v>1.195457262402869E-3</v>
      </c>
      <c r="AG33" s="26">
        <f t="shared" si="13"/>
        <v>4.2694902228673895E-4</v>
      </c>
    </row>
    <row r="34" spans="1:33" x14ac:dyDescent="0.25">
      <c r="A34" s="88" t="s">
        <v>54</v>
      </c>
      <c r="B34" s="14">
        <v>1105</v>
      </c>
      <c r="C34" s="14">
        <v>180</v>
      </c>
      <c r="D34" s="14">
        <v>76</v>
      </c>
      <c r="E34" s="14">
        <v>29</v>
      </c>
      <c r="F34" s="14">
        <v>21</v>
      </c>
      <c r="G34" s="14">
        <v>14</v>
      </c>
      <c r="H34" s="14">
        <v>8</v>
      </c>
      <c r="I34" s="14">
        <v>8</v>
      </c>
      <c r="J34" s="14">
        <f t="shared" si="7"/>
        <v>156</v>
      </c>
      <c r="K34" s="14">
        <v>4</v>
      </c>
      <c r="L34" s="14">
        <v>8</v>
      </c>
      <c r="M34" s="14">
        <v>2</v>
      </c>
      <c r="N34" s="14">
        <v>1</v>
      </c>
      <c r="O34" s="14">
        <v>3</v>
      </c>
      <c r="P34" s="14">
        <v>1</v>
      </c>
      <c r="Q34" s="14">
        <v>1</v>
      </c>
      <c r="R34" s="14">
        <v>2</v>
      </c>
      <c r="S34" s="14">
        <v>1</v>
      </c>
      <c r="T34" s="14">
        <v>1</v>
      </c>
      <c r="U34" s="14">
        <v>1</v>
      </c>
      <c r="V34" s="14">
        <v>1</v>
      </c>
      <c r="W34" s="14">
        <f t="shared" si="8"/>
        <v>26</v>
      </c>
      <c r="X34" s="14">
        <v>8</v>
      </c>
      <c r="Y34" s="14">
        <v>7</v>
      </c>
      <c r="Z34" s="14">
        <f t="shared" si="9"/>
        <v>15</v>
      </c>
      <c r="AB34" s="88" t="s">
        <v>54</v>
      </c>
      <c r="AC34" s="26">
        <f t="shared" si="10"/>
        <v>0.74561403508771928</v>
      </c>
      <c r="AD34" s="26">
        <f t="shared" si="10"/>
        <v>0.1214574898785425</v>
      </c>
      <c r="AE34" s="26">
        <f t="shared" si="11"/>
        <v>0.10526315789473684</v>
      </c>
      <c r="AF34" s="26">
        <f t="shared" si="12"/>
        <v>1.7543859649122806E-2</v>
      </c>
      <c r="AG34" s="26">
        <f t="shared" si="13"/>
        <v>1.0121457489878543E-2</v>
      </c>
    </row>
    <row r="35" spans="1:33" x14ac:dyDescent="0.25">
      <c r="A35" s="88" t="s">
        <v>67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f t="shared" si="7"/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f t="shared" si="8"/>
        <v>0</v>
      </c>
      <c r="X35" s="14">
        <v>0</v>
      </c>
      <c r="Y35" s="14">
        <v>0</v>
      </c>
      <c r="Z35" s="14">
        <f t="shared" si="9"/>
        <v>0</v>
      </c>
      <c r="AB35" s="88" t="s">
        <v>67</v>
      </c>
      <c r="AC35" s="26" t="str">
        <f t="shared" si="10"/>
        <v/>
      </c>
      <c r="AD35" s="26" t="str">
        <f t="shared" si="10"/>
        <v/>
      </c>
      <c r="AE35" s="26" t="str">
        <f t="shared" si="11"/>
        <v/>
      </c>
      <c r="AF35" s="26" t="str">
        <f t="shared" si="12"/>
        <v/>
      </c>
      <c r="AG35" s="26" t="str">
        <f t="shared" si="13"/>
        <v/>
      </c>
    </row>
    <row r="36" spans="1:33" x14ac:dyDescent="0.25">
      <c r="A36" s="88" t="s">
        <v>75</v>
      </c>
      <c r="B36" s="14">
        <v>1659</v>
      </c>
      <c r="C36" s="14">
        <v>93</v>
      </c>
      <c r="D36" s="14">
        <v>32</v>
      </c>
      <c r="E36" s="14">
        <v>8</v>
      </c>
      <c r="F36" s="14">
        <v>4</v>
      </c>
      <c r="G36" s="14">
        <v>1</v>
      </c>
      <c r="H36" s="14">
        <v>3</v>
      </c>
      <c r="I36" s="14">
        <v>1</v>
      </c>
      <c r="J36" s="14">
        <f t="shared" si="7"/>
        <v>49</v>
      </c>
      <c r="K36" s="14">
        <v>1</v>
      </c>
      <c r="L36" s="14">
        <v>0</v>
      </c>
      <c r="M36" s="14">
        <v>1</v>
      </c>
      <c r="N36" s="14">
        <v>0</v>
      </c>
      <c r="O36" s="14">
        <v>0</v>
      </c>
      <c r="P36" s="14">
        <v>1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f t="shared" si="8"/>
        <v>3</v>
      </c>
      <c r="X36" s="14">
        <v>1</v>
      </c>
      <c r="Y36" s="14">
        <v>0</v>
      </c>
      <c r="Z36" s="14">
        <f t="shared" si="9"/>
        <v>1</v>
      </c>
      <c r="AB36" s="88" t="s">
        <v>75</v>
      </c>
      <c r="AC36" s="26">
        <f t="shared" si="10"/>
        <v>0.91911357340720223</v>
      </c>
      <c r="AD36" s="26">
        <f t="shared" si="10"/>
        <v>5.1523545706371188E-2</v>
      </c>
      <c r="AE36" s="26">
        <f t="shared" si="11"/>
        <v>2.7146814404432132E-2</v>
      </c>
      <c r="AF36" s="26">
        <f t="shared" si="12"/>
        <v>1.6620498614958448E-3</v>
      </c>
      <c r="AG36" s="26">
        <f t="shared" si="13"/>
        <v>5.54016620498615E-4</v>
      </c>
    </row>
    <row r="37" spans="1:33" x14ac:dyDescent="0.25">
      <c r="A37" s="88" t="s">
        <v>55</v>
      </c>
      <c r="B37" s="14">
        <v>1232</v>
      </c>
      <c r="C37" s="14">
        <v>216</v>
      </c>
      <c r="D37" s="14">
        <v>64</v>
      </c>
      <c r="E37" s="14">
        <v>28</v>
      </c>
      <c r="F37" s="14">
        <v>13</v>
      </c>
      <c r="G37" s="14">
        <v>12</v>
      </c>
      <c r="H37" s="14">
        <v>3</v>
      </c>
      <c r="I37" s="14">
        <v>2</v>
      </c>
      <c r="J37" s="14">
        <f t="shared" si="7"/>
        <v>122</v>
      </c>
      <c r="K37" s="14">
        <v>2</v>
      </c>
      <c r="L37" s="14">
        <v>1</v>
      </c>
      <c r="M37" s="14">
        <v>0</v>
      </c>
      <c r="N37" s="14">
        <v>1</v>
      </c>
      <c r="O37" s="14">
        <v>0</v>
      </c>
      <c r="P37" s="14">
        <v>1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f t="shared" si="8"/>
        <v>5</v>
      </c>
      <c r="X37" s="14">
        <v>1</v>
      </c>
      <c r="Y37" s="14">
        <v>0</v>
      </c>
      <c r="Z37" s="14">
        <f t="shared" si="9"/>
        <v>1</v>
      </c>
      <c r="AB37" s="88" t="s">
        <v>55</v>
      </c>
      <c r="AC37" s="26">
        <f t="shared" si="10"/>
        <v>0.78172588832487311</v>
      </c>
      <c r="AD37" s="26">
        <f t="shared" si="10"/>
        <v>0.13705583756345177</v>
      </c>
      <c r="AE37" s="26">
        <f t="shared" si="11"/>
        <v>7.7411167512690351E-2</v>
      </c>
      <c r="AF37" s="26">
        <f t="shared" si="12"/>
        <v>3.1725888324873096E-3</v>
      </c>
      <c r="AG37" s="26">
        <f t="shared" si="13"/>
        <v>6.3451776649746188E-4</v>
      </c>
    </row>
    <row r="38" spans="1:33" x14ac:dyDescent="0.25">
      <c r="A38" s="88" t="s">
        <v>80</v>
      </c>
      <c r="B38" s="14">
        <v>64</v>
      </c>
      <c r="C38" s="14">
        <v>2</v>
      </c>
      <c r="D38" s="14">
        <v>2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f t="shared" si="7"/>
        <v>2</v>
      </c>
      <c r="K38" s="14">
        <v>1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1</v>
      </c>
      <c r="U38" s="14">
        <v>0</v>
      </c>
      <c r="V38" s="14">
        <v>0</v>
      </c>
      <c r="W38" s="14">
        <f t="shared" si="8"/>
        <v>2</v>
      </c>
      <c r="X38" s="14">
        <v>0</v>
      </c>
      <c r="Y38" s="14">
        <v>0</v>
      </c>
      <c r="Z38" s="14">
        <f t="shared" si="9"/>
        <v>0</v>
      </c>
      <c r="AB38" s="88" t="s">
        <v>80</v>
      </c>
      <c r="AC38" s="26">
        <f t="shared" si="10"/>
        <v>0.91428571428571426</v>
      </c>
      <c r="AD38" s="26">
        <f t="shared" si="10"/>
        <v>2.8571428571428571E-2</v>
      </c>
      <c r="AE38" s="26">
        <f t="shared" si="11"/>
        <v>2.8571428571428571E-2</v>
      </c>
      <c r="AF38" s="26">
        <f t="shared" si="12"/>
        <v>2.8571428571428571E-2</v>
      </c>
      <c r="AG38" s="26">
        <f t="shared" si="13"/>
        <v>0</v>
      </c>
    </row>
    <row r="39" spans="1:33" x14ac:dyDescent="0.25">
      <c r="A39" s="88" t="s">
        <v>56</v>
      </c>
      <c r="B39" s="14">
        <v>2841</v>
      </c>
      <c r="C39" s="14">
        <v>1442</v>
      </c>
      <c r="D39" s="14">
        <v>652</v>
      </c>
      <c r="E39" s="14">
        <v>375</v>
      </c>
      <c r="F39" s="14">
        <v>222</v>
      </c>
      <c r="G39" s="14">
        <v>164</v>
      </c>
      <c r="H39" s="14">
        <v>115</v>
      </c>
      <c r="I39" s="14">
        <v>85</v>
      </c>
      <c r="J39" s="14">
        <f t="shared" si="7"/>
        <v>1613</v>
      </c>
      <c r="K39" s="14">
        <v>64</v>
      </c>
      <c r="L39" s="14">
        <v>54</v>
      </c>
      <c r="M39" s="14">
        <v>33</v>
      </c>
      <c r="N39" s="14">
        <v>33</v>
      </c>
      <c r="O39" s="14">
        <v>18</v>
      </c>
      <c r="P39" s="14">
        <v>22</v>
      </c>
      <c r="Q39" s="14">
        <v>19</v>
      </c>
      <c r="R39" s="14">
        <v>14</v>
      </c>
      <c r="S39" s="14">
        <v>13</v>
      </c>
      <c r="T39" s="14">
        <v>19</v>
      </c>
      <c r="U39" s="14">
        <v>7</v>
      </c>
      <c r="V39" s="14">
        <v>12</v>
      </c>
      <c r="W39" s="14">
        <f t="shared" si="8"/>
        <v>308</v>
      </c>
      <c r="X39" s="14">
        <v>31</v>
      </c>
      <c r="Y39" s="14">
        <v>26</v>
      </c>
      <c r="Z39" s="14">
        <f t="shared" si="9"/>
        <v>57</v>
      </c>
      <c r="AB39" s="88" t="s">
        <v>56</v>
      </c>
      <c r="AC39" s="26">
        <f t="shared" si="10"/>
        <v>0.4537613799712506</v>
      </c>
      <c r="AD39" s="26">
        <f t="shared" si="10"/>
        <v>0.23031464622264813</v>
      </c>
      <c r="AE39" s="26">
        <f t="shared" si="11"/>
        <v>0.25762657722408561</v>
      </c>
      <c r="AF39" s="26">
        <f t="shared" si="12"/>
        <v>4.9193419581536495E-2</v>
      </c>
      <c r="AG39" s="26">
        <f t="shared" si="13"/>
        <v>9.1039770004791559E-3</v>
      </c>
    </row>
    <row r="40" spans="1:33" x14ac:dyDescent="0.25">
      <c r="A40" s="88" t="s">
        <v>57</v>
      </c>
      <c r="B40" s="14">
        <v>1352</v>
      </c>
      <c r="C40" s="14">
        <v>60</v>
      </c>
      <c r="D40" s="14">
        <v>15</v>
      </c>
      <c r="E40" s="14">
        <v>15</v>
      </c>
      <c r="F40" s="14">
        <v>6</v>
      </c>
      <c r="G40" s="14">
        <v>4</v>
      </c>
      <c r="H40" s="14">
        <v>0</v>
      </c>
      <c r="I40" s="14">
        <v>1</v>
      </c>
      <c r="J40" s="14">
        <f t="shared" si="7"/>
        <v>41</v>
      </c>
      <c r="K40" s="14">
        <v>1</v>
      </c>
      <c r="L40" s="14">
        <v>0</v>
      </c>
      <c r="M40" s="14">
        <v>1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2</v>
      </c>
      <c r="U40" s="14">
        <v>0</v>
      </c>
      <c r="V40" s="14">
        <v>0</v>
      </c>
      <c r="W40" s="14">
        <f t="shared" si="8"/>
        <v>4</v>
      </c>
      <c r="X40" s="14">
        <v>1</v>
      </c>
      <c r="Y40" s="14">
        <v>0</v>
      </c>
      <c r="Z40" s="14">
        <f t="shared" si="9"/>
        <v>1</v>
      </c>
      <c r="AB40" s="88" t="s">
        <v>57</v>
      </c>
      <c r="AC40" s="26">
        <f t="shared" si="10"/>
        <v>0.92729766803840874</v>
      </c>
      <c r="AD40" s="26">
        <f t="shared" si="10"/>
        <v>4.1152263374485597E-2</v>
      </c>
      <c r="AE40" s="26">
        <f t="shared" si="11"/>
        <v>2.8120713305898493E-2</v>
      </c>
      <c r="AF40" s="26">
        <f t="shared" si="12"/>
        <v>2.7434842249657062E-3</v>
      </c>
      <c r="AG40" s="26">
        <f t="shared" si="13"/>
        <v>6.8587105624142656E-4</v>
      </c>
    </row>
    <row r="41" spans="1:33" x14ac:dyDescent="0.25">
      <c r="A41" s="88" t="s">
        <v>86</v>
      </c>
      <c r="B41" s="14">
        <v>20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f t="shared" si="7"/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f t="shared" si="8"/>
        <v>0</v>
      </c>
      <c r="X41" s="14">
        <v>0</v>
      </c>
      <c r="Y41" s="14">
        <v>0</v>
      </c>
      <c r="Z41" s="14">
        <f t="shared" si="9"/>
        <v>0</v>
      </c>
      <c r="AB41" s="88" t="s">
        <v>86</v>
      </c>
      <c r="AC41" s="26">
        <f t="shared" si="10"/>
        <v>1</v>
      </c>
      <c r="AD41" s="26">
        <f t="shared" si="10"/>
        <v>0</v>
      </c>
      <c r="AE41" s="26">
        <f t="shared" si="11"/>
        <v>0</v>
      </c>
      <c r="AF41" s="26">
        <f t="shared" si="12"/>
        <v>0</v>
      </c>
      <c r="AG41" s="26">
        <f t="shared" si="13"/>
        <v>0</v>
      </c>
    </row>
    <row r="42" spans="1:33" x14ac:dyDescent="0.25">
      <c r="A42" s="95" t="s">
        <v>59</v>
      </c>
      <c r="B42" s="96">
        <v>59663</v>
      </c>
      <c r="C42" s="96">
        <v>13032</v>
      </c>
      <c r="D42" s="96">
        <v>5136</v>
      </c>
      <c r="E42" s="96">
        <v>2550</v>
      </c>
      <c r="F42" s="96">
        <v>1557</v>
      </c>
      <c r="G42" s="96">
        <v>995</v>
      </c>
      <c r="H42" s="96">
        <v>621</v>
      </c>
      <c r="I42" s="96">
        <v>485</v>
      </c>
      <c r="J42" s="61">
        <f t="shared" si="7"/>
        <v>11344</v>
      </c>
      <c r="K42" s="96">
        <v>381</v>
      </c>
      <c r="L42" s="96">
        <v>294</v>
      </c>
      <c r="M42" s="96">
        <v>209</v>
      </c>
      <c r="N42" s="96">
        <v>165</v>
      </c>
      <c r="O42" s="96">
        <v>118</v>
      </c>
      <c r="P42" s="96">
        <v>97</v>
      </c>
      <c r="Q42" s="96">
        <v>99</v>
      </c>
      <c r="R42" s="96">
        <v>86</v>
      </c>
      <c r="S42" s="96">
        <v>68</v>
      </c>
      <c r="T42" s="96">
        <v>68</v>
      </c>
      <c r="U42" s="96">
        <v>51</v>
      </c>
      <c r="V42" s="96">
        <v>36</v>
      </c>
      <c r="W42" s="61">
        <f t="shared" si="8"/>
        <v>1672</v>
      </c>
      <c r="X42" s="96">
        <v>194</v>
      </c>
      <c r="Y42" s="96">
        <v>139</v>
      </c>
      <c r="Z42" s="61">
        <f t="shared" si="9"/>
        <v>333</v>
      </c>
      <c r="AB42" s="95" t="s">
        <v>59</v>
      </c>
      <c r="AC42" s="101">
        <f t="shared" si="10"/>
        <v>0.69340105062526147</v>
      </c>
      <c r="AD42" s="101">
        <f t="shared" si="10"/>
        <v>0.15145739389149737</v>
      </c>
      <c r="AE42" s="62">
        <f t="shared" si="11"/>
        <v>0.13183952396448329</v>
      </c>
      <c r="AF42" s="62">
        <f t="shared" si="12"/>
        <v>1.9431918553298313E-2</v>
      </c>
      <c r="AG42" s="62">
        <f t="shared" si="13"/>
        <v>3.8701129654595324E-3</v>
      </c>
    </row>
  </sheetData>
  <mergeCells count="4">
    <mergeCell ref="A3:B3"/>
    <mergeCell ref="A24:B24"/>
    <mergeCell ref="AB3:AD3"/>
    <mergeCell ref="AB24:AC24"/>
  </mergeCells>
  <phoneticPr fontId="20" type="noConversion"/>
  <hyperlinks>
    <hyperlink ref="AA1" location="INDICE!A1" display="INDIC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"/>
  <sheetViews>
    <sheetView topLeftCell="J1" workbookViewId="0">
      <selection activeCell="AA1" sqref="AA1"/>
    </sheetView>
  </sheetViews>
  <sheetFormatPr baseColWidth="10" defaultRowHeight="15" x14ac:dyDescent="0.25"/>
  <cols>
    <col min="1" max="1" width="23.140625" customWidth="1"/>
    <col min="4" max="9" width="0" hidden="1" customWidth="1"/>
    <col min="11" max="22" width="0" hidden="1" customWidth="1"/>
    <col min="24" max="25" width="0" hidden="1" customWidth="1"/>
    <col min="28" max="28" width="18" customWidth="1"/>
  </cols>
  <sheetData>
    <row r="1" spans="1:33" x14ac:dyDescent="0.25">
      <c r="Z1" s="2" t="s">
        <v>0</v>
      </c>
      <c r="AA1" s="176" t="s">
        <v>1</v>
      </c>
      <c r="AB1" s="2" t="s">
        <v>216</v>
      </c>
      <c r="AC1" t="s">
        <v>226</v>
      </c>
    </row>
    <row r="2" spans="1:33" ht="18.75" x14ac:dyDescent="0.3">
      <c r="A2" s="94" t="s">
        <v>146</v>
      </c>
    </row>
    <row r="3" spans="1:33" x14ac:dyDescent="0.25">
      <c r="A3" s="310" t="s">
        <v>116</v>
      </c>
      <c r="B3" s="310"/>
      <c r="C3" s="93"/>
      <c r="D3" s="92"/>
      <c r="AB3" s="310" t="s">
        <v>116</v>
      </c>
      <c r="AC3" s="310"/>
      <c r="AD3" s="310"/>
      <c r="AE3" s="92"/>
    </row>
    <row r="4" spans="1:33" ht="15.75" x14ac:dyDescent="0.25">
      <c r="A4" s="97" t="s">
        <v>94</v>
      </c>
      <c r="B4" s="98" t="s">
        <v>117</v>
      </c>
      <c r="C4" s="98" t="s">
        <v>118</v>
      </c>
      <c r="D4" s="98" t="s">
        <v>119</v>
      </c>
      <c r="E4" s="98" t="s">
        <v>120</v>
      </c>
      <c r="F4" s="98" t="s">
        <v>121</v>
      </c>
      <c r="G4" s="98" t="s">
        <v>122</v>
      </c>
      <c r="H4" s="98" t="s">
        <v>123</v>
      </c>
      <c r="I4" s="98" t="s">
        <v>124</v>
      </c>
      <c r="J4" s="99" t="s">
        <v>125</v>
      </c>
      <c r="K4" s="98" t="s">
        <v>126</v>
      </c>
      <c r="L4" s="98" t="s">
        <v>127</v>
      </c>
      <c r="M4" s="98" t="s">
        <v>128</v>
      </c>
      <c r="N4" s="98" t="s">
        <v>129</v>
      </c>
      <c r="O4" s="98" t="s">
        <v>130</v>
      </c>
      <c r="P4" s="98" t="s">
        <v>131</v>
      </c>
      <c r="Q4" s="98" t="s">
        <v>132</v>
      </c>
      <c r="R4" s="98" t="s">
        <v>133</v>
      </c>
      <c r="S4" s="98" t="s">
        <v>134</v>
      </c>
      <c r="T4" s="98" t="s">
        <v>135</v>
      </c>
      <c r="U4" s="98" t="s">
        <v>136</v>
      </c>
      <c r="V4" s="98" t="s">
        <v>137</v>
      </c>
      <c r="W4" s="99" t="s">
        <v>138</v>
      </c>
      <c r="X4" s="98" t="s">
        <v>139</v>
      </c>
      <c r="Y4" s="98" t="s">
        <v>140</v>
      </c>
      <c r="Z4" s="99" t="s">
        <v>141</v>
      </c>
      <c r="AB4" s="97" t="s">
        <v>94</v>
      </c>
      <c r="AC4" s="98" t="s">
        <v>117</v>
      </c>
      <c r="AD4" s="98" t="s">
        <v>118</v>
      </c>
      <c r="AE4" s="100" t="s">
        <v>125</v>
      </c>
      <c r="AF4" s="99" t="s">
        <v>138</v>
      </c>
      <c r="AG4" s="99" t="s">
        <v>141</v>
      </c>
    </row>
    <row r="5" spans="1:33" x14ac:dyDescent="0.25">
      <c r="A5" s="88" t="s">
        <v>49</v>
      </c>
      <c r="B5" s="14">
        <v>676.39000000000101</v>
      </c>
      <c r="C5" s="14">
        <v>432</v>
      </c>
      <c r="D5" s="14">
        <v>365.58</v>
      </c>
      <c r="E5" s="14">
        <v>274</v>
      </c>
      <c r="F5" s="14">
        <v>128.15</v>
      </c>
      <c r="G5" s="14">
        <v>252.92</v>
      </c>
      <c r="H5" s="14">
        <v>224.43</v>
      </c>
      <c r="I5" s="14">
        <v>37.479999999999997</v>
      </c>
      <c r="J5" s="14">
        <f>SUM(D5:I5)</f>
        <v>1282.56</v>
      </c>
      <c r="K5" s="14">
        <v>43.15</v>
      </c>
      <c r="L5" s="14">
        <v>94.35</v>
      </c>
      <c r="M5" s="14">
        <v>0</v>
      </c>
      <c r="N5" s="14">
        <v>114</v>
      </c>
      <c r="O5" s="14">
        <v>64.260000000000005</v>
      </c>
      <c r="P5" s="14">
        <v>67.709999999999994</v>
      </c>
      <c r="Q5" s="14">
        <v>0</v>
      </c>
      <c r="R5" s="14">
        <v>0</v>
      </c>
      <c r="S5" s="14">
        <v>80.430000000000007</v>
      </c>
      <c r="T5" s="14">
        <v>0</v>
      </c>
      <c r="U5" s="14">
        <v>91.91</v>
      </c>
      <c r="V5" s="14">
        <v>194.71</v>
      </c>
      <c r="W5" s="14">
        <f>SUM(K5:V5)</f>
        <v>750.52</v>
      </c>
      <c r="X5" s="14">
        <v>0</v>
      </c>
      <c r="Y5" s="14">
        <v>166.42</v>
      </c>
      <c r="Z5" s="14">
        <f>SUM(X5:Y5)</f>
        <v>166.42</v>
      </c>
      <c r="AB5" s="88" t="s">
        <v>49</v>
      </c>
      <c r="AC5" s="26">
        <f>IFERROR(B5/SUM($B5+$C5+$J5+$W5+$Z5),"")</f>
        <v>0.20447777888623891</v>
      </c>
      <c r="AD5" s="26">
        <f>IFERROR(C5/SUM($B5+$C5+$J5+$W5+$Z5),"")</f>
        <v>0.13059684572340674</v>
      </c>
      <c r="AE5" s="26">
        <f>IFERROR(J5/SUM($B5+$C5+$J5+$W5+$Z5),"")</f>
        <v>0.38772752419215861</v>
      </c>
      <c r="AF5" s="26">
        <f>IFERROR(W5/SUM($B5+$C5+$J5+$W5+$Z5),"")</f>
        <v>0.22688783484335931</v>
      </c>
      <c r="AG5" s="26">
        <f>IFERROR(Z5/SUM($B5+$C5+$J5+$W5+$Z5),"")</f>
        <v>5.0310016354836451E-2</v>
      </c>
    </row>
    <row r="6" spans="1:33" x14ac:dyDescent="0.25">
      <c r="A6" s="88" t="s">
        <v>50</v>
      </c>
      <c r="B6" s="14">
        <v>209.25</v>
      </c>
      <c r="C6" s="14">
        <v>156.03</v>
      </c>
      <c r="D6" s="14">
        <v>37.909999999999997</v>
      </c>
      <c r="E6" s="14">
        <v>36.14</v>
      </c>
      <c r="F6" s="14">
        <v>0</v>
      </c>
      <c r="G6" s="14">
        <v>0</v>
      </c>
      <c r="H6" s="14">
        <v>0</v>
      </c>
      <c r="I6" s="14">
        <v>36.42</v>
      </c>
      <c r="J6" s="14">
        <f t="shared" ref="J6:J21" si="0">SUM(D6:I6)</f>
        <v>110.47</v>
      </c>
      <c r="K6" s="14">
        <v>43.4</v>
      </c>
      <c r="L6" s="14">
        <v>0</v>
      </c>
      <c r="M6" s="14">
        <v>54.3</v>
      </c>
      <c r="N6" s="14">
        <v>56.42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f t="shared" ref="W6:W21" si="1">SUM(K6:V6)</f>
        <v>154.12</v>
      </c>
      <c r="X6" s="14">
        <v>0</v>
      </c>
      <c r="Y6" s="14">
        <v>0</v>
      </c>
      <c r="Z6" s="14">
        <f t="shared" ref="Z6:Z21" si="2">SUM(X6:Y6)</f>
        <v>0</v>
      </c>
      <c r="AB6" s="88" t="s">
        <v>50</v>
      </c>
      <c r="AC6" s="26">
        <f t="shared" ref="AC6:AD21" si="3">IFERROR(B6/SUM($B6+$C6+$J6+$W6+$Z6),"")</f>
        <v>0.33221140870338323</v>
      </c>
      <c r="AD6" s="26">
        <f t="shared" si="3"/>
        <v>0.24771778303459444</v>
      </c>
      <c r="AE6" s="26">
        <f t="shared" ref="AE6:AE21" si="4">IFERROR(J6/SUM($B6+$C6+$J6+$W6+$Z6),"")</f>
        <v>0.17538539698667979</v>
      </c>
      <c r="AF6" s="26">
        <f t="shared" ref="AF6:AF21" si="5">IFERROR(W6/SUM($B6+$C6+$J6+$W6+$Z6),"")</f>
        <v>0.24468541127534255</v>
      </c>
      <c r="AG6" s="26">
        <f t="shared" ref="AG6:AG21" si="6">IFERROR(Z6/SUM($B6+$C6+$J6+$W6+$Z6),"")</f>
        <v>0</v>
      </c>
    </row>
    <row r="7" spans="1:33" x14ac:dyDescent="0.25">
      <c r="A7" s="88" t="s">
        <v>63</v>
      </c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f t="shared" si="0"/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f t="shared" si="1"/>
        <v>0</v>
      </c>
      <c r="X7" s="14">
        <v>0</v>
      </c>
      <c r="Y7" s="14">
        <v>0</v>
      </c>
      <c r="Z7" s="14">
        <f t="shared" si="2"/>
        <v>0</v>
      </c>
      <c r="AB7" s="88" t="s">
        <v>63</v>
      </c>
      <c r="AC7" s="26" t="str">
        <f t="shared" si="3"/>
        <v/>
      </c>
      <c r="AD7" s="26" t="str">
        <f t="shared" si="3"/>
        <v/>
      </c>
      <c r="AE7" s="26" t="str">
        <f t="shared" si="4"/>
        <v/>
      </c>
      <c r="AF7" s="26" t="str">
        <f t="shared" si="5"/>
        <v/>
      </c>
      <c r="AG7" s="26" t="str">
        <f t="shared" si="6"/>
        <v/>
      </c>
    </row>
    <row r="8" spans="1:33" x14ac:dyDescent="0.25">
      <c r="A8" s="88" t="s">
        <v>60</v>
      </c>
      <c r="B8" s="14">
        <v>29.34</v>
      </c>
      <c r="C8" s="14">
        <v>46.7</v>
      </c>
      <c r="D8" s="14">
        <v>11.24</v>
      </c>
      <c r="E8" s="14">
        <v>16.12</v>
      </c>
      <c r="F8" s="14">
        <v>21.3</v>
      </c>
      <c r="G8" s="14">
        <v>0</v>
      </c>
      <c r="H8" s="14">
        <v>0</v>
      </c>
      <c r="I8" s="14">
        <v>0</v>
      </c>
      <c r="J8" s="14">
        <f t="shared" si="0"/>
        <v>48.66</v>
      </c>
      <c r="K8" s="14">
        <v>0</v>
      </c>
      <c r="L8" s="14">
        <v>94.11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f t="shared" si="1"/>
        <v>94.11</v>
      </c>
      <c r="X8" s="14">
        <v>0</v>
      </c>
      <c r="Y8" s="14">
        <v>0</v>
      </c>
      <c r="Z8" s="14">
        <f t="shared" si="2"/>
        <v>0</v>
      </c>
      <c r="AB8" s="88" t="s">
        <v>60</v>
      </c>
      <c r="AC8" s="26">
        <f t="shared" si="3"/>
        <v>0.13408893560623372</v>
      </c>
      <c r="AD8" s="26">
        <f t="shared" si="3"/>
        <v>0.21342717426077421</v>
      </c>
      <c r="AE8" s="26">
        <f t="shared" si="4"/>
        <v>0.22238471733467391</v>
      </c>
      <c r="AF8" s="26">
        <f t="shared" si="5"/>
        <v>0.43009917279831816</v>
      </c>
      <c r="AG8" s="26">
        <f t="shared" si="6"/>
        <v>0</v>
      </c>
    </row>
    <row r="9" spans="1:33" x14ac:dyDescent="0.25">
      <c r="A9" s="88" t="s">
        <v>53</v>
      </c>
      <c r="B9" s="14">
        <v>545.34500000000003</v>
      </c>
      <c r="C9" s="14">
        <v>500.54</v>
      </c>
      <c r="D9" s="14">
        <v>218.35</v>
      </c>
      <c r="E9" s="14">
        <v>101.21</v>
      </c>
      <c r="F9" s="14">
        <v>91.28</v>
      </c>
      <c r="G9" s="14">
        <v>82.75</v>
      </c>
      <c r="H9" s="14">
        <v>63.11</v>
      </c>
      <c r="I9" s="14">
        <v>0</v>
      </c>
      <c r="J9" s="14">
        <f t="shared" si="0"/>
        <v>556.70000000000005</v>
      </c>
      <c r="K9" s="14">
        <v>41.58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81.790000000000006</v>
      </c>
      <c r="T9" s="14">
        <v>0</v>
      </c>
      <c r="U9" s="14">
        <v>0</v>
      </c>
      <c r="V9" s="14">
        <v>0</v>
      </c>
      <c r="W9" s="14">
        <f t="shared" si="1"/>
        <v>123.37</v>
      </c>
      <c r="X9" s="14">
        <v>0</v>
      </c>
      <c r="Y9" s="14">
        <v>0</v>
      </c>
      <c r="Z9" s="14">
        <f t="shared" si="2"/>
        <v>0</v>
      </c>
      <c r="AB9" s="88" t="s">
        <v>53</v>
      </c>
      <c r="AC9" s="26">
        <f t="shared" si="3"/>
        <v>0.31596710227091673</v>
      </c>
      <c r="AD9" s="26">
        <f t="shared" si="3"/>
        <v>0.290007561031429</v>
      </c>
      <c r="AE9" s="26">
        <f t="shared" si="4"/>
        <v>0.32254606869819902</v>
      </c>
      <c r="AF9" s="26">
        <f t="shared" si="5"/>
        <v>7.1479267999455379E-2</v>
      </c>
      <c r="AG9" s="26">
        <f t="shared" si="6"/>
        <v>0</v>
      </c>
    </row>
    <row r="10" spans="1:33" x14ac:dyDescent="0.25">
      <c r="A10" s="88" t="s">
        <v>52</v>
      </c>
      <c r="B10" s="14">
        <v>4914.1970000000001</v>
      </c>
      <c r="C10" s="14">
        <v>5354.71</v>
      </c>
      <c r="D10" s="14">
        <v>3725.69</v>
      </c>
      <c r="E10" s="14">
        <v>2717.79</v>
      </c>
      <c r="F10" s="14">
        <v>2206.7399999999998</v>
      </c>
      <c r="G10" s="14">
        <v>1614.95</v>
      </c>
      <c r="H10" s="14">
        <v>942.89</v>
      </c>
      <c r="I10" s="14">
        <v>1324.68</v>
      </c>
      <c r="J10" s="14">
        <f t="shared" si="0"/>
        <v>12532.74</v>
      </c>
      <c r="K10" s="14">
        <v>893.15</v>
      </c>
      <c r="L10" s="14">
        <v>804</v>
      </c>
      <c r="M10" s="14">
        <v>891.75</v>
      </c>
      <c r="N10" s="14">
        <v>284.63</v>
      </c>
      <c r="O10" s="14">
        <v>376.13</v>
      </c>
      <c r="P10" s="14">
        <v>546.24</v>
      </c>
      <c r="Q10" s="14">
        <v>368.9</v>
      </c>
      <c r="R10" s="14">
        <v>309.14</v>
      </c>
      <c r="S10" s="14">
        <v>330.18</v>
      </c>
      <c r="T10" s="14">
        <v>175.15</v>
      </c>
      <c r="U10" s="14">
        <v>185.3</v>
      </c>
      <c r="V10" s="14">
        <v>0</v>
      </c>
      <c r="W10" s="14">
        <f t="shared" si="1"/>
        <v>5164.5700000000006</v>
      </c>
      <c r="X10" s="14">
        <v>964.61</v>
      </c>
      <c r="Y10" s="14">
        <v>1018</v>
      </c>
      <c r="Z10" s="14">
        <f t="shared" si="2"/>
        <v>1982.6100000000001</v>
      </c>
      <c r="AB10" s="88" t="s">
        <v>52</v>
      </c>
      <c r="AC10" s="26">
        <f t="shared" si="3"/>
        <v>0.16408645988038198</v>
      </c>
      <c r="AD10" s="26">
        <f t="shared" si="3"/>
        <v>0.17879531642424595</v>
      </c>
      <c r="AE10" s="26">
        <f t="shared" si="4"/>
        <v>0.41847181527343297</v>
      </c>
      <c r="AF10" s="26">
        <f t="shared" si="5"/>
        <v>0.17244648680230451</v>
      </c>
      <c r="AG10" s="26">
        <f t="shared" si="6"/>
        <v>6.6199921619634727E-2</v>
      </c>
    </row>
    <row r="11" spans="1:33" x14ac:dyDescent="0.25">
      <c r="A11" s="88" t="s">
        <v>65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f t="shared" si="0"/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f t="shared" si="1"/>
        <v>0</v>
      </c>
      <c r="X11" s="14">
        <v>0</v>
      </c>
      <c r="Y11" s="14">
        <v>0</v>
      </c>
      <c r="Z11" s="14">
        <f t="shared" si="2"/>
        <v>0</v>
      </c>
      <c r="AB11" s="88" t="s">
        <v>65</v>
      </c>
      <c r="AC11" s="26" t="str">
        <f t="shared" si="3"/>
        <v/>
      </c>
      <c r="AD11" s="26" t="str">
        <f t="shared" si="3"/>
        <v/>
      </c>
      <c r="AE11" s="26" t="str">
        <f t="shared" si="4"/>
        <v/>
      </c>
      <c r="AF11" s="26" t="str">
        <f t="shared" si="5"/>
        <v/>
      </c>
      <c r="AG11" s="26" t="str">
        <f t="shared" si="6"/>
        <v/>
      </c>
    </row>
    <row r="12" spans="1:33" x14ac:dyDescent="0.25">
      <c r="A12" s="88" t="s">
        <v>51</v>
      </c>
      <c r="B12" s="14">
        <v>63.76</v>
      </c>
      <c r="C12" s="14">
        <v>33.409999999999997</v>
      </c>
      <c r="D12" s="14">
        <v>61.65</v>
      </c>
      <c r="E12" s="14">
        <v>36.119999999999997</v>
      </c>
      <c r="F12" s="14">
        <v>0</v>
      </c>
      <c r="G12" s="14">
        <v>28.95</v>
      </c>
      <c r="H12" s="14">
        <v>0</v>
      </c>
      <c r="I12" s="14">
        <v>0</v>
      </c>
      <c r="J12" s="14">
        <f t="shared" si="0"/>
        <v>126.72</v>
      </c>
      <c r="K12" s="14">
        <v>0</v>
      </c>
      <c r="L12" s="14">
        <v>0</v>
      </c>
      <c r="M12" s="14">
        <v>0</v>
      </c>
      <c r="N12" s="14">
        <v>56.14</v>
      </c>
      <c r="O12" s="14">
        <v>0</v>
      </c>
      <c r="P12" s="14">
        <v>66.39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f t="shared" si="1"/>
        <v>122.53</v>
      </c>
      <c r="X12" s="14">
        <v>121.63</v>
      </c>
      <c r="Y12" s="14">
        <v>0</v>
      </c>
      <c r="Z12" s="14">
        <f t="shared" si="2"/>
        <v>121.63</v>
      </c>
      <c r="AB12" s="88" t="s">
        <v>51</v>
      </c>
      <c r="AC12" s="26">
        <f t="shared" si="3"/>
        <v>0.13622476231171884</v>
      </c>
      <c r="AD12" s="26">
        <f t="shared" si="3"/>
        <v>7.1381262685610514E-2</v>
      </c>
      <c r="AE12" s="26">
        <f t="shared" si="4"/>
        <v>0.27074030552291423</v>
      </c>
      <c r="AF12" s="26">
        <f t="shared" si="5"/>
        <v>0.26178827048392267</v>
      </c>
      <c r="AG12" s="26">
        <f t="shared" si="6"/>
        <v>0.25986539899583377</v>
      </c>
    </row>
    <row r="13" spans="1:33" x14ac:dyDescent="0.25">
      <c r="A13" s="88" t="s">
        <v>54</v>
      </c>
      <c r="B13" s="14">
        <v>233.91</v>
      </c>
      <c r="C13" s="14">
        <v>191.05</v>
      </c>
      <c r="D13" s="14">
        <v>113.57</v>
      </c>
      <c r="E13" s="14">
        <v>120.15</v>
      </c>
      <c r="F13" s="14">
        <v>177.9</v>
      </c>
      <c r="G13" s="14">
        <v>55.52</v>
      </c>
      <c r="H13" s="14">
        <v>0</v>
      </c>
      <c r="I13" s="14">
        <v>0</v>
      </c>
      <c r="J13" s="14">
        <f t="shared" si="0"/>
        <v>467.14</v>
      </c>
      <c r="K13" s="14">
        <v>88.16</v>
      </c>
      <c r="L13" s="14">
        <v>0</v>
      </c>
      <c r="M13" s="14">
        <v>53.78</v>
      </c>
      <c r="N13" s="14">
        <v>0</v>
      </c>
      <c r="O13" s="14">
        <v>0</v>
      </c>
      <c r="P13" s="14">
        <v>0</v>
      </c>
      <c r="Q13" s="14">
        <v>0</v>
      </c>
      <c r="R13" s="14">
        <v>79.23</v>
      </c>
      <c r="S13" s="14">
        <v>0</v>
      </c>
      <c r="T13" s="14">
        <v>175.15</v>
      </c>
      <c r="U13" s="14">
        <v>0</v>
      </c>
      <c r="V13" s="14">
        <v>0</v>
      </c>
      <c r="W13" s="14">
        <f t="shared" si="1"/>
        <v>396.32000000000005</v>
      </c>
      <c r="X13" s="14">
        <v>0</v>
      </c>
      <c r="Y13" s="14">
        <v>0</v>
      </c>
      <c r="Z13" s="14">
        <f t="shared" si="2"/>
        <v>0</v>
      </c>
      <c r="AB13" s="88" t="s">
        <v>54</v>
      </c>
      <c r="AC13" s="26">
        <f t="shared" si="3"/>
        <v>0.18154794244112943</v>
      </c>
      <c r="AD13" s="26">
        <f t="shared" si="3"/>
        <v>0.14828239238757548</v>
      </c>
      <c r="AE13" s="26">
        <f t="shared" si="4"/>
        <v>0.36256810667328976</v>
      </c>
      <c r="AF13" s="26">
        <f t="shared" si="5"/>
        <v>0.30760155849800536</v>
      </c>
      <c r="AG13" s="26">
        <f t="shared" si="6"/>
        <v>0</v>
      </c>
    </row>
    <row r="14" spans="1:33" x14ac:dyDescent="0.25">
      <c r="A14" s="88" t="s">
        <v>67</v>
      </c>
      <c r="B14" s="14">
        <v>0.3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f t="shared" si="0"/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f t="shared" si="1"/>
        <v>0</v>
      </c>
      <c r="X14" s="14">
        <v>0</v>
      </c>
      <c r="Y14" s="14">
        <v>0</v>
      </c>
      <c r="Z14" s="14">
        <f t="shared" si="2"/>
        <v>0</v>
      </c>
      <c r="AB14" s="88" t="s">
        <v>67</v>
      </c>
      <c r="AC14" s="26">
        <f t="shared" si="3"/>
        <v>1</v>
      </c>
      <c r="AD14" s="26">
        <f t="shared" si="3"/>
        <v>0</v>
      </c>
      <c r="AE14" s="26">
        <f t="shared" si="4"/>
        <v>0</v>
      </c>
      <c r="AF14" s="26">
        <f t="shared" si="5"/>
        <v>0</v>
      </c>
      <c r="AG14" s="26">
        <f t="shared" si="6"/>
        <v>0</v>
      </c>
    </row>
    <row r="15" spans="1:33" x14ac:dyDescent="0.25">
      <c r="A15" s="88" t="s">
        <v>75</v>
      </c>
      <c r="B15" s="14">
        <v>0.96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f t="shared" si="0"/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f t="shared" si="1"/>
        <v>0</v>
      </c>
      <c r="X15" s="14">
        <v>0</v>
      </c>
      <c r="Y15" s="14">
        <v>0</v>
      </c>
      <c r="Z15" s="14">
        <f t="shared" si="2"/>
        <v>0</v>
      </c>
      <c r="AB15" s="88" t="s">
        <v>75</v>
      </c>
      <c r="AC15" s="26">
        <f t="shared" si="3"/>
        <v>1</v>
      </c>
      <c r="AD15" s="26">
        <f t="shared" si="3"/>
        <v>0</v>
      </c>
      <c r="AE15" s="26">
        <f t="shared" si="4"/>
        <v>0</v>
      </c>
      <c r="AF15" s="26">
        <f t="shared" si="5"/>
        <v>0</v>
      </c>
      <c r="AG15" s="26">
        <f t="shared" si="6"/>
        <v>0</v>
      </c>
    </row>
    <row r="16" spans="1:33" x14ac:dyDescent="0.25">
      <c r="A16" s="88" t="s">
        <v>55</v>
      </c>
      <c r="B16" s="14">
        <v>23.157</v>
      </c>
      <c r="C16" s="14">
        <v>19.239999999999998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f t="shared" si="0"/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f t="shared" si="1"/>
        <v>0</v>
      </c>
      <c r="X16" s="14">
        <v>0</v>
      </c>
      <c r="Y16" s="14">
        <v>0</v>
      </c>
      <c r="Z16" s="14">
        <f t="shared" si="2"/>
        <v>0</v>
      </c>
      <c r="AB16" s="88" t="s">
        <v>55</v>
      </c>
      <c r="AC16" s="26">
        <f t="shared" si="3"/>
        <v>0.54619430620091047</v>
      </c>
      <c r="AD16" s="26">
        <f t="shared" si="3"/>
        <v>0.45380569379908953</v>
      </c>
      <c r="AE16" s="26">
        <f t="shared" si="4"/>
        <v>0</v>
      </c>
      <c r="AF16" s="26">
        <f t="shared" si="5"/>
        <v>0</v>
      </c>
      <c r="AG16" s="26">
        <f t="shared" si="6"/>
        <v>0</v>
      </c>
    </row>
    <row r="17" spans="1:33" x14ac:dyDescent="0.25">
      <c r="A17" s="88" t="s">
        <v>80</v>
      </c>
      <c r="B17" s="14">
        <v>72.054000000000002</v>
      </c>
      <c r="C17" s="14">
        <v>55.57</v>
      </c>
      <c r="D17" s="14">
        <v>38.56</v>
      </c>
      <c r="E17" s="14">
        <v>15.59</v>
      </c>
      <c r="F17" s="14">
        <v>69.459999999999994</v>
      </c>
      <c r="G17" s="14">
        <v>29.9</v>
      </c>
      <c r="H17" s="14">
        <v>0</v>
      </c>
      <c r="I17" s="14">
        <v>0</v>
      </c>
      <c r="J17" s="14">
        <f t="shared" si="0"/>
        <v>153.51</v>
      </c>
      <c r="K17" s="14">
        <v>41.17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f t="shared" si="1"/>
        <v>41.17</v>
      </c>
      <c r="X17" s="14">
        <v>0</v>
      </c>
      <c r="Y17" s="14">
        <v>0</v>
      </c>
      <c r="Z17" s="14">
        <f t="shared" si="2"/>
        <v>0</v>
      </c>
      <c r="AB17" s="88" t="s">
        <v>80</v>
      </c>
      <c r="AC17" s="26">
        <f t="shared" si="3"/>
        <v>0.22355912430500396</v>
      </c>
      <c r="AD17" s="26">
        <f t="shared" si="3"/>
        <v>0.17241486298649719</v>
      </c>
      <c r="AE17" s="26">
        <f t="shared" si="4"/>
        <v>0.47628946584590937</v>
      </c>
      <c r="AF17" s="26">
        <f t="shared" si="5"/>
        <v>0.12773654686258934</v>
      </c>
      <c r="AG17" s="26">
        <f t="shared" si="6"/>
        <v>0</v>
      </c>
    </row>
    <row r="18" spans="1:33" x14ac:dyDescent="0.25">
      <c r="A18" s="88" t="s">
        <v>56</v>
      </c>
      <c r="B18" s="14">
        <v>50.45</v>
      </c>
      <c r="C18" s="14">
        <v>82.03</v>
      </c>
      <c r="D18" s="14">
        <v>45.17</v>
      </c>
      <c r="E18" s="14">
        <v>99.39</v>
      </c>
      <c r="F18" s="14">
        <v>23.03</v>
      </c>
      <c r="G18" s="14">
        <v>29.5</v>
      </c>
      <c r="H18" s="14">
        <v>0</v>
      </c>
      <c r="I18" s="14">
        <v>36.44</v>
      </c>
      <c r="J18" s="14">
        <f t="shared" si="0"/>
        <v>233.53</v>
      </c>
      <c r="K18" s="14">
        <v>41.85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77.239999999999995</v>
      </c>
      <c r="S18" s="14">
        <v>0</v>
      </c>
      <c r="T18" s="14">
        <v>0</v>
      </c>
      <c r="U18" s="14">
        <v>0</v>
      </c>
      <c r="V18" s="14">
        <v>0</v>
      </c>
      <c r="W18" s="14">
        <f t="shared" si="1"/>
        <v>119.09</v>
      </c>
      <c r="X18" s="14">
        <v>145.97</v>
      </c>
      <c r="Y18" s="14">
        <v>0</v>
      </c>
      <c r="Z18" s="14">
        <f t="shared" si="2"/>
        <v>145.97</v>
      </c>
      <c r="AB18" s="88" t="s">
        <v>56</v>
      </c>
      <c r="AC18" s="26">
        <f t="shared" si="3"/>
        <v>7.9943587874562252E-2</v>
      </c>
      <c r="AD18" s="26">
        <f t="shared" si="3"/>
        <v>0.12998558004658753</v>
      </c>
      <c r="AE18" s="26">
        <f t="shared" si="4"/>
        <v>0.37005403521004004</v>
      </c>
      <c r="AF18" s="26">
        <f t="shared" si="5"/>
        <v>0.18871123647138985</v>
      </c>
      <c r="AG18" s="26">
        <f t="shared" si="6"/>
        <v>0.23130556039742023</v>
      </c>
    </row>
    <row r="19" spans="1:33" x14ac:dyDescent="0.25">
      <c r="A19" s="88" t="s">
        <v>57</v>
      </c>
      <c r="B19" s="14">
        <v>8.41</v>
      </c>
      <c r="C19" s="14">
        <v>16.170000000000002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f t="shared" si="0"/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f t="shared" si="1"/>
        <v>0</v>
      </c>
      <c r="X19" s="14">
        <v>0</v>
      </c>
      <c r="Y19" s="14">
        <v>0</v>
      </c>
      <c r="Z19" s="14">
        <f t="shared" si="2"/>
        <v>0</v>
      </c>
      <c r="AB19" s="88" t="s">
        <v>57</v>
      </c>
      <c r="AC19" s="26">
        <f t="shared" si="3"/>
        <v>0.34214808787632217</v>
      </c>
      <c r="AD19" s="26">
        <f t="shared" si="3"/>
        <v>0.65785191212367777</v>
      </c>
      <c r="AE19" s="26">
        <f t="shared" si="4"/>
        <v>0</v>
      </c>
      <c r="AF19" s="26">
        <f t="shared" si="5"/>
        <v>0</v>
      </c>
      <c r="AG19" s="26">
        <f t="shared" si="6"/>
        <v>0</v>
      </c>
    </row>
    <row r="20" spans="1:33" x14ac:dyDescent="0.25">
      <c r="A20" s="88" t="s">
        <v>86</v>
      </c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f t="shared" si="0"/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f t="shared" si="1"/>
        <v>0</v>
      </c>
      <c r="X20" s="14">
        <v>0</v>
      </c>
      <c r="Y20" s="14">
        <v>0</v>
      </c>
      <c r="Z20" s="14">
        <f t="shared" si="2"/>
        <v>0</v>
      </c>
      <c r="AB20" s="88" t="s">
        <v>86</v>
      </c>
      <c r="AC20" s="26" t="str">
        <f t="shared" si="3"/>
        <v/>
      </c>
      <c r="AD20" s="26" t="str">
        <f t="shared" si="3"/>
        <v/>
      </c>
      <c r="AE20" s="26" t="str">
        <f t="shared" si="4"/>
        <v/>
      </c>
      <c r="AF20" s="26" t="str">
        <f t="shared" si="5"/>
        <v/>
      </c>
      <c r="AG20" s="26" t="str">
        <f t="shared" si="6"/>
        <v/>
      </c>
    </row>
    <row r="21" spans="1:33" x14ac:dyDescent="0.25">
      <c r="A21" s="95" t="s">
        <v>59</v>
      </c>
      <c r="B21" s="96">
        <v>6827.5229999999901</v>
      </c>
      <c r="C21" s="96">
        <v>6887.45</v>
      </c>
      <c r="D21" s="96">
        <v>4617.72</v>
      </c>
      <c r="E21" s="96">
        <v>3416.51</v>
      </c>
      <c r="F21" s="96">
        <v>2717.86</v>
      </c>
      <c r="G21" s="96">
        <v>2094.4899999999998</v>
      </c>
      <c r="H21" s="96">
        <v>1230.43</v>
      </c>
      <c r="I21" s="96">
        <v>1435.02</v>
      </c>
      <c r="J21" s="61">
        <f t="shared" si="0"/>
        <v>15512.03</v>
      </c>
      <c r="K21" s="96">
        <v>1192.46</v>
      </c>
      <c r="L21" s="96">
        <v>992.46</v>
      </c>
      <c r="M21" s="96">
        <v>999.83</v>
      </c>
      <c r="N21" s="96">
        <v>511.19</v>
      </c>
      <c r="O21" s="96">
        <v>440.39</v>
      </c>
      <c r="P21" s="96">
        <v>680.34</v>
      </c>
      <c r="Q21" s="96">
        <v>368.9</v>
      </c>
      <c r="R21" s="96">
        <v>465.61</v>
      </c>
      <c r="S21" s="96">
        <v>492.4</v>
      </c>
      <c r="T21" s="96">
        <v>350.3</v>
      </c>
      <c r="U21" s="96">
        <v>277.20999999999998</v>
      </c>
      <c r="V21" s="96">
        <v>194.71</v>
      </c>
      <c r="W21" s="61">
        <f t="shared" si="1"/>
        <v>6965.7999999999993</v>
      </c>
      <c r="X21" s="96">
        <v>1232.21</v>
      </c>
      <c r="Y21" s="96">
        <v>1184.42</v>
      </c>
      <c r="Z21" s="61">
        <f t="shared" si="2"/>
        <v>2416.63</v>
      </c>
      <c r="AB21" s="95" t="s">
        <v>59</v>
      </c>
      <c r="AC21" s="101">
        <f t="shared" si="3"/>
        <v>0.1768356194197411</v>
      </c>
      <c r="AD21" s="101">
        <f t="shared" si="3"/>
        <v>0.17838775306542323</v>
      </c>
      <c r="AE21" s="62">
        <f t="shared" si="4"/>
        <v>0.40176787884971032</v>
      </c>
      <c r="AF21" s="62">
        <f t="shared" si="5"/>
        <v>0.18041704989555279</v>
      </c>
      <c r="AG21" s="62">
        <f t="shared" si="6"/>
        <v>6.259169876957274E-2</v>
      </c>
    </row>
    <row r="24" spans="1:33" x14ac:dyDescent="0.25">
      <c r="A24" s="310" t="s">
        <v>147</v>
      </c>
      <c r="B24" s="310"/>
      <c r="C24" s="93"/>
      <c r="D24" s="92"/>
      <c r="AB24" s="310" t="s">
        <v>147</v>
      </c>
      <c r="AC24" s="310"/>
    </row>
    <row r="25" spans="1:33" ht="15.75" x14ac:dyDescent="0.25">
      <c r="A25" s="97" t="s">
        <v>94</v>
      </c>
      <c r="B25" s="98" t="s">
        <v>117</v>
      </c>
      <c r="C25" s="98" t="s">
        <v>118</v>
      </c>
      <c r="D25" s="98" t="s">
        <v>119</v>
      </c>
      <c r="E25" s="98" t="s">
        <v>120</v>
      </c>
      <c r="F25" s="98" t="s">
        <v>121</v>
      </c>
      <c r="G25" s="98" t="s">
        <v>122</v>
      </c>
      <c r="H25" s="98" t="s">
        <v>123</v>
      </c>
      <c r="I25" s="98" t="s">
        <v>124</v>
      </c>
      <c r="J25" s="99" t="s">
        <v>125</v>
      </c>
      <c r="K25" s="98" t="s">
        <v>126</v>
      </c>
      <c r="L25" s="98" t="s">
        <v>127</v>
      </c>
      <c r="M25" s="98" t="s">
        <v>128</v>
      </c>
      <c r="N25" s="98" t="s">
        <v>129</v>
      </c>
      <c r="O25" s="98" t="s">
        <v>130</v>
      </c>
      <c r="P25" s="98" t="s">
        <v>131</v>
      </c>
      <c r="Q25" s="98" t="s">
        <v>132</v>
      </c>
      <c r="R25" s="98" t="s">
        <v>133</v>
      </c>
      <c r="S25" s="98" t="s">
        <v>134</v>
      </c>
      <c r="T25" s="98" t="s">
        <v>135</v>
      </c>
      <c r="U25" s="98" t="s">
        <v>136</v>
      </c>
      <c r="V25" s="98" t="s">
        <v>137</v>
      </c>
      <c r="W25" s="99" t="s">
        <v>138</v>
      </c>
      <c r="X25" s="98" t="s">
        <v>139</v>
      </c>
      <c r="Y25" s="98" t="s">
        <v>140</v>
      </c>
      <c r="Z25" s="99" t="s">
        <v>141</v>
      </c>
      <c r="AB25" s="97" t="s">
        <v>94</v>
      </c>
      <c r="AC25" s="98" t="s">
        <v>117</v>
      </c>
      <c r="AD25" s="98" t="s">
        <v>118</v>
      </c>
      <c r="AE25" s="100" t="s">
        <v>125</v>
      </c>
      <c r="AF25" s="99" t="s">
        <v>138</v>
      </c>
      <c r="AG25" s="99" t="s">
        <v>141</v>
      </c>
    </row>
    <row r="26" spans="1:33" x14ac:dyDescent="0.25">
      <c r="A26" s="88" t="s">
        <v>49</v>
      </c>
      <c r="B26" s="14">
        <v>388</v>
      </c>
      <c r="C26" s="14">
        <v>63</v>
      </c>
      <c r="D26" s="14">
        <v>31</v>
      </c>
      <c r="E26" s="14">
        <v>16</v>
      </c>
      <c r="F26" s="14">
        <v>6</v>
      </c>
      <c r="G26" s="14">
        <v>9</v>
      </c>
      <c r="H26" s="14">
        <v>7</v>
      </c>
      <c r="I26" s="14">
        <v>1</v>
      </c>
      <c r="J26" s="14">
        <f>SUM(D26:I26)</f>
        <v>70</v>
      </c>
      <c r="K26" s="14">
        <v>1</v>
      </c>
      <c r="L26" s="14">
        <v>2</v>
      </c>
      <c r="M26" s="14">
        <v>0</v>
      </c>
      <c r="N26" s="14">
        <v>2</v>
      </c>
      <c r="O26" s="14">
        <v>1</v>
      </c>
      <c r="P26" s="14">
        <v>1</v>
      </c>
      <c r="Q26" s="14">
        <v>0</v>
      </c>
      <c r="R26" s="14">
        <v>0</v>
      </c>
      <c r="S26" s="14">
        <v>1</v>
      </c>
      <c r="T26" s="14">
        <v>0</v>
      </c>
      <c r="U26" s="14">
        <v>1</v>
      </c>
      <c r="V26" s="14">
        <v>2</v>
      </c>
      <c r="W26" s="14">
        <f>SUM(K26:V26)</f>
        <v>11</v>
      </c>
      <c r="X26" s="14">
        <v>0</v>
      </c>
      <c r="Y26" s="14">
        <v>1</v>
      </c>
      <c r="Z26" s="14">
        <f>SUM(X26:Y26)</f>
        <v>1</v>
      </c>
      <c r="AB26" s="88" t="s">
        <v>49</v>
      </c>
      <c r="AC26" s="26">
        <f>IFERROR(B26/SUM($B26+$C26+$J26+$W26+$Z26),"")</f>
        <v>0.72795497185741087</v>
      </c>
      <c r="AD26" s="26">
        <f>IFERROR(C26/SUM($B26+$C26+$J26+$W26+$Z26),"")</f>
        <v>0.11819887429643527</v>
      </c>
      <c r="AE26" s="26">
        <f>IFERROR(J26/SUM($B26+$C26+$J26+$W26+$Z26),"")</f>
        <v>0.13133208255159476</v>
      </c>
      <c r="AF26" s="26">
        <f>IFERROR(W26/SUM($B26+$C26+$J26+$W26+$Z26),"")</f>
        <v>2.0637898686679174E-2</v>
      </c>
      <c r="AG26" s="26">
        <f>IFERROR(Z26/SUM($B26+$C26+$J26+$W26+$Z26),"")</f>
        <v>1.876172607879925E-3</v>
      </c>
    </row>
    <row r="27" spans="1:33" x14ac:dyDescent="0.25">
      <c r="A27" s="88" t="s">
        <v>50</v>
      </c>
      <c r="B27" s="14">
        <v>141</v>
      </c>
      <c r="C27" s="14">
        <v>23</v>
      </c>
      <c r="D27" s="14">
        <v>3</v>
      </c>
      <c r="E27" s="14">
        <v>2</v>
      </c>
      <c r="F27" s="14">
        <v>0</v>
      </c>
      <c r="G27" s="14">
        <v>0</v>
      </c>
      <c r="H27" s="14">
        <v>0</v>
      </c>
      <c r="I27" s="14">
        <v>1</v>
      </c>
      <c r="J27" s="14">
        <f t="shared" ref="J27:J42" si="7">SUM(D27:I27)</f>
        <v>6</v>
      </c>
      <c r="K27" s="14">
        <v>1</v>
      </c>
      <c r="L27" s="14">
        <v>0</v>
      </c>
      <c r="M27" s="14">
        <v>1</v>
      </c>
      <c r="N27" s="14">
        <v>1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f t="shared" ref="W27:W42" si="8">SUM(K27:V27)</f>
        <v>3</v>
      </c>
      <c r="X27" s="14">
        <v>0</v>
      </c>
      <c r="Y27" s="14">
        <v>0</v>
      </c>
      <c r="Z27" s="14">
        <f t="shared" ref="Z27:Z42" si="9">SUM(X27:Y27)</f>
        <v>0</v>
      </c>
      <c r="AB27" s="88" t="s">
        <v>50</v>
      </c>
      <c r="AC27" s="26">
        <f t="shared" ref="AC27:AD42" si="10">IFERROR(B27/SUM($B27+$C27+$J27+$W27+$Z27),"")</f>
        <v>0.81502890173410403</v>
      </c>
      <c r="AD27" s="26">
        <f t="shared" si="10"/>
        <v>0.13294797687861271</v>
      </c>
      <c r="AE27" s="26">
        <f t="shared" ref="AE27:AE42" si="11">IFERROR(J27/SUM($B27+$C27+$J27+$W27+$Z27),"")</f>
        <v>3.4682080924855488E-2</v>
      </c>
      <c r="AF27" s="26">
        <f t="shared" ref="AF27:AF42" si="12">IFERROR(W27/SUM($B27+$C27+$J27+$W27+$Z27),"")</f>
        <v>1.7341040462427744E-2</v>
      </c>
      <c r="AG27" s="26">
        <f t="shared" ref="AG27:AG42" si="13">IFERROR(Z27/SUM($B27+$C27+$J27+$W27+$Z27),"")</f>
        <v>0</v>
      </c>
    </row>
    <row r="28" spans="1:33" x14ac:dyDescent="0.25">
      <c r="A28" s="88" t="s">
        <v>63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f t="shared" si="7"/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f t="shared" si="8"/>
        <v>0</v>
      </c>
      <c r="X28" s="14">
        <v>0</v>
      </c>
      <c r="Y28" s="14">
        <v>0</v>
      </c>
      <c r="Z28" s="14">
        <f t="shared" si="9"/>
        <v>0</v>
      </c>
      <c r="AB28" s="88" t="s">
        <v>63</v>
      </c>
      <c r="AC28" s="26" t="str">
        <f t="shared" si="10"/>
        <v/>
      </c>
      <c r="AD28" s="26" t="str">
        <f t="shared" si="10"/>
        <v/>
      </c>
      <c r="AE28" s="26" t="str">
        <f t="shared" si="11"/>
        <v/>
      </c>
      <c r="AF28" s="26" t="str">
        <f t="shared" si="12"/>
        <v/>
      </c>
      <c r="AG28" s="26" t="str">
        <f t="shared" si="13"/>
        <v/>
      </c>
    </row>
    <row r="29" spans="1:33" x14ac:dyDescent="0.25">
      <c r="A29" s="88" t="s">
        <v>60</v>
      </c>
      <c r="B29" s="14">
        <v>32</v>
      </c>
      <c r="C29" s="14">
        <v>8</v>
      </c>
      <c r="D29" s="14">
        <v>1</v>
      </c>
      <c r="E29" s="14">
        <v>1</v>
      </c>
      <c r="F29" s="14">
        <v>1</v>
      </c>
      <c r="G29" s="14">
        <v>0</v>
      </c>
      <c r="H29" s="14">
        <v>0</v>
      </c>
      <c r="I29" s="14">
        <v>0</v>
      </c>
      <c r="J29" s="14">
        <f t="shared" si="7"/>
        <v>3</v>
      </c>
      <c r="K29" s="14">
        <v>0</v>
      </c>
      <c r="L29" s="14">
        <v>2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f t="shared" si="8"/>
        <v>2</v>
      </c>
      <c r="X29" s="14">
        <v>0</v>
      </c>
      <c r="Y29" s="14">
        <v>0</v>
      </c>
      <c r="Z29" s="14">
        <f t="shared" si="9"/>
        <v>0</v>
      </c>
      <c r="AB29" s="88" t="s">
        <v>60</v>
      </c>
      <c r="AC29" s="26">
        <f t="shared" si="10"/>
        <v>0.71111111111111114</v>
      </c>
      <c r="AD29" s="26">
        <f t="shared" si="10"/>
        <v>0.17777777777777778</v>
      </c>
      <c r="AE29" s="26">
        <f t="shared" si="11"/>
        <v>6.6666666666666666E-2</v>
      </c>
      <c r="AF29" s="26">
        <f t="shared" si="12"/>
        <v>4.4444444444444446E-2</v>
      </c>
      <c r="AG29" s="26">
        <f t="shared" si="13"/>
        <v>0</v>
      </c>
    </row>
    <row r="30" spans="1:33" x14ac:dyDescent="0.25">
      <c r="A30" s="88" t="s">
        <v>53</v>
      </c>
      <c r="B30" s="14">
        <v>276</v>
      </c>
      <c r="C30" s="14">
        <v>70</v>
      </c>
      <c r="D30" s="14">
        <v>18</v>
      </c>
      <c r="E30" s="14">
        <v>6</v>
      </c>
      <c r="F30" s="14">
        <v>4</v>
      </c>
      <c r="G30" s="14">
        <v>3</v>
      </c>
      <c r="H30" s="14">
        <v>2</v>
      </c>
      <c r="I30" s="14">
        <v>0</v>
      </c>
      <c r="J30" s="14">
        <f t="shared" si="7"/>
        <v>33</v>
      </c>
      <c r="K30" s="14">
        <v>1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1</v>
      </c>
      <c r="T30" s="14">
        <v>0</v>
      </c>
      <c r="U30" s="14">
        <v>0</v>
      </c>
      <c r="V30" s="14">
        <v>0</v>
      </c>
      <c r="W30" s="14">
        <f t="shared" si="8"/>
        <v>2</v>
      </c>
      <c r="X30" s="14">
        <v>0</v>
      </c>
      <c r="Y30" s="14">
        <v>0</v>
      </c>
      <c r="Z30" s="14">
        <f t="shared" si="9"/>
        <v>0</v>
      </c>
      <c r="AB30" s="88" t="s">
        <v>53</v>
      </c>
      <c r="AC30" s="26">
        <f t="shared" si="10"/>
        <v>0.72440944881889768</v>
      </c>
      <c r="AD30" s="26">
        <f t="shared" si="10"/>
        <v>0.18372703412073491</v>
      </c>
      <c r="AE30" s="26">
        <f t="shared" si="11"/>
        <v>8.6614173228346455E-2</v>
      </c>
      <c r="AF30" s="26">
        <f t="shared" si="12"/>
        <v>5.2493438320209973E-3</v>
      </c>
      <c r="AG30" s="26">
        <f t="shared" si="13"/>
        <v>0</v>
      </c>
    </row>
    <row r="31" spans="1:33" x14ac:dyDescent="0.25">
      <c r="A31" s="88" t="s">
        <v>52</v>
      </c>
      <c r="B31" s="14">
        <v>2327</v>
      </c>
      <c r="C31" s="14">
        <v>764</v>
      </c>
      <c r="D31" s="14">
        <v>306</v>
      </c>
      <c r="E31" s="14">
        <v>156</v>
      </c>
      <c r="F31" s="14">
        <v>100</v>
      </c>
      <c r="G31" s="14">
        <v>59</v>
      </c>
      <c r="H31" s="14">
        <v>29</v>
      </c>
      <c r="I31" s="14">
        <v>35</v>
      </c>
      <c r="J31" s="14">
        <f t="shared" si="7"/>
        <v>685</v>
      </c>
      <c r="K31" s="14">
        <v>21</v>
      </c>
      <c r="L31" s="14">
        <v>17</v>
      </c>
      <c r="M31" s="14">
        <v>17</v>
      </c>
      <c r="N31" s="14">
        <v>5</v>
      </c>
      <c r="O31" s="14">
        <v>6</v>
      </c>
      <c r="P31" s="14">
        <v>8</v>
      </c>
      <c r="Q31" s="14">
        <v>5</v>
      </c>
      <c r="R31" s="14">
        <v>4</v>
      </c>
      <c r="S31" s="14">
        <v>4</v>
      </c>
      <c r="T31" s="14">
        <v>2</v>
      </c>
      <c r="U31" s="14">
        <v>2</v>
      </c>
      <c r="V31" s="14">
        <v>0</v>
      </c>
      <c r="W31" s="14">
        <f t="shared" si="8"/>
        <v>91</v>
      </c>
      <c r="X31" s="14">
        <v>8</v>
      </c>
      <c r="Y31" s="14">
        <v>6</v>
      </c>
      <c r="Z31" s="14">
        <f t="shared" si="9"/>
        <v>14</v>
      </c>
      <c r="AB31" s="88" t="s">
        <v>52</v>
      </c>
      <c r="AC31" s="26">
        <f t="shared" si="10"/>
        <v>0.59958773511981445</v>
      </c>
      <c r="AD31" s="26">
        <f t="shared" si="10"/>
        <v>0.19685648028858541</v>
      </c>
      <c r="AE31" s="26">
        <f t="shared" si="11"/>
        <v>0.17650090182942541</v>
      </c>
      <c r="AF31" s="26">
        <f t="shared" si="12"/>
        <v>2.3447565060551404E-2</v>
      </c>
      <c r="AG31" s="26">
        <f t="shared" si="13"/>
        <v>3.607317701623293E-3</v>
      </c>
    </row>
    <row r="32" spans="1:33" x14ac:dyDescent="0.25">
      <c r="A32" s="88" t="s">
        <v>65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f t="shared" si="7"/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f t="shared" si="8"/>
        <v>0</v>
      </c>
      <c r="X32" s="14">
        <v>0</v>
      </c>
      <c r="Y32" s="14">
        <v>0</v>
      </c>
      <c r="Z32" s="14">
        <f t="shared" si="9"/>
        <v>0</v>
      </c>
      <c r="AB32" s="88" t="s">
        <v>65</v>
      </c>
      <c r="AC32" s="26" t="str">
        <f t="shared" si="10"/>
        <v/>
      </c>
      <c r="AD32" s="26" t="str">
        <f t="shared" si="10"/>
        <v/>
      </c>
      <c r="AE32" s="26" t="str">
        <f t="shared" si="11"/>
        <v/>
      </c>
      <c r="AF32" s="26" t="str">
        <f t="shared" si="12"/>
        <v/>
      </c>
      <c r="AG32" s="26" t="str">
        <f t="shared" si="13"/>
        <v/>
      </c>
    </row>
    <row r="33" spans="1:33" x14ac:dyDescent="0.25">
      <c r="A33" s="88" t="s">
        <v>51</v>
      </c>
      <c r="B33" s="14">
        <v>54</v>
      </c>
      <c r="C33" s="14">
        <v>5</v>
      </c>
      <c r="D33" s="14">
        <v>5</v>
      </c>
      <c r="E33" s="14">
        <v>2</v>
      </c>
      <c r="F33" s="14">
        <v>0</v>
      </c>
      <c r="G33" s="14">
        <v>1</v>
      </c>
      <c r="H33" s="14">
        <v>0</v>
      </c>
      <c r="I33" s="14">
        <v>0</v>
      </c>
      <c r="J33" s="14">
        <f t="shared" si="7"/>
        <v>8</v>
      </c>
      <c r="K33" s="14">
        <v>0</v>
      </c>
      <c r="L33" s="14">
        <v>0</v>
      </c>
      <c r="M33" s="14">
        <v>0</v>
      </c>
      <c r="N33" s="14">
        <v>1</v>
      </c>
      <c r="O33" s="14">
        <v>0</v>
      </c>
      <c r="P33" s="14">
        <v>1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f t="shared" si="8"/>
        <v>2</v>
      </c>
      <c r="X33" s="14">
        <v>1</v>
      </c>
      <c r="Y33" s="14">
        <v>0</v>
      </c>
      <c r="Z33" s="14">
        <f t="shared" si="9"/>
        <v>1</v>
      </c>
      <c r="AB33" s="88" t="s">
        <v>51</v>
      </c>
      <c r="AC33" s="26">
        <f t="shared" si="10"/>
        <v>0.77142857142857146</v>
      </c>
      <c r="AD33" s="26">
        <f t="shared" si="10"/>
        <v>7.1428571428571425E-2</v>
      </c>
      <c r="AE33" s="26">
        <f t="shared" si="11"/>
        <v>0.11428571428571428</v>
      </c>
      <c r="AF33" s="26">
        <f t="shared" si="12"/>
        <v>2.8571428571428571E-2</v>
      </c>
      <c r="AG33" s="26">
        <f t="shared" si="13"/>
        <v>1.4285714285714285E-2</v>
      </c>
    </row>
    <row r="34" spans="1:33" x14ac:dyDescent="0.25">
      <c r="A34" s="88" t="s">
        <v>54</v>
      </c>
      <c r="B34" s="14">
        <v>111</v>
      </c>
      <c r="C34" s="14">
        <v>28</v>
      </c>
      <c r="D34" s="14">
        <v>9</v>
      </c>
      <c r="E34" s="14">
        <v>7</v>
      </c>
      <c r="F34" s="14">
        <v>8</v>
      </c>
      <c r="G34" s="14">
        <v>2</v>
      </c>
      <c r="H34" s="14">
        <v>0</v>
      </c>
      <c r="I34" s="14">
        <v>0</v>
      </c>
      <c r="J34" s="14">
        <f t="shared" si="7"/>
        <v>26</v>
      </c>
      <c r="K34" s="14">
        <v>2</v>
      </c>
      <c r="L34" s="14">
        <v>0</v>
      </c>
      <c r="M34" s="14">
        <v>1</v>
      </c>
      <c r="N34" s="14">
        <v>0</v>
      </c>
      <c r="O34" s="14">
        <v>0</v>
      </c>
      <c r="P34" s="14">
        <v>0</v>
      </c>
      <c r="Q34" s="14">
        <v>0</v>
      </c>
      <c r="R34" s="14">
        <v>1</v>
      </c>
      <c r="S34" s="14">
        <v>0</v>
      </c>
      <c r="T34" s="14">
        <v>2</v>
      </c>
      <c r="U34" s="14">
        <v>0</v>
      </c>
      <c r="V34" s="14">
        <v>0</v>
      </c>
      <c r="W34" s="14">
        <f t="shared" si="8"/>
        <v>6</v>
      </c>
      <c r="X34" s="14">
        <v>0</v>
      </c>
      <c r="Y34" s="14">
        <v>0</v>
      </c>
      <c r="Z34" s="14">
        <f t="shared" si="9"/>
        <v>0</v>
      </c>
      <c r="AB34" s="88" t="s">
        <v>54</v>
      </c>
      <c r="AC34" s="26">
        <f t="shared" si="10"/>
        <v>0.64912280701754388</v>
      </c>
      <c r="AD34" s="26">
        <f t="shared" si="10"/>
        <v>0.16374269005847952</v>
      </c>
      <c r="AE34" s="26">
        <f t="shared" si="11"/>
        <v>0.15204678362573099</v>
      </c>
      <c r="AF34" s="26">
        <f t="shared" si="12"/>
        <v>3.5087719298245612E-2</v>
      </c>
      <c r="AG34" s="26">
        <f t="shared" si="13"/>
        <v>0</v>
      </c>
    </row>
    <row r="35" spans="1:33" x14ac:dyDescent="0.25">
      <c r="A35" s="88" t="s">
        <v>67</v>
      </c>
      <c r="B35" s="14">
        <v>1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f t="shared" si="7"/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f t="shared" si="8"/>
        <v>0</v>
      </c>
      <c r="X35" s="14">
        <v>0</v>
      </c>
      <c r="Y35" s="14">
        <v>0</v>
      </c>
      <c r="Z35" s="14">
        <f t="shared" si="9"/>
        <v>0</v>
      </c>
      <c r="AB35" s="88" t="s">
        <v>67</v>
      </c>
      <c r="AC35" s="26">
        <f t="shared" si="10"/>
        <v>1</v>
      </c>
      <c r="AD35" s="26">
        <f t="shared" si="10"/>
        <v>0</v>
      </c>
      <c r="AE35" s="26">
        <f t="shared" si="11"/>
        <v>0</v>
      </c>
      <c r="AF35" s="26">
        <f t="shared" si="12"/>
        <v>0</v>
      </c>
      <c r="AG35" s="26">
        <f t="shared" si="13"/>
        <v>0</v>
      </c>
    </row>
    <row r="36" spans="1:33" x14ac:dyDescent="0.25">
      <c r="A36" s="88" t="s">
        <v>75</v>
      </c>
      <c r="B36" s="14">
        <v>2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f t="shared" si="7"/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f t="shared" si="8"/>
        <v>0</v>
      </c>
      <c r="X36" s="14">
        <v>0</v>
      </c>
      <c r="Y36" s="14">
        <v>0</v>
      </c>
      <c r="Z36" s="14">
        <f t="shared" si="9"/>
        <v>0</v>
      </c>
      <c r="AB36" s="88" t="s">
        <v>75</v>
      </c>
      <c r="AC36" s="26">
        <f t="shared" si="10"/>
        <v>1</v>
      </c>
      <c r="AD36" s="26">
        <f t="shared" si="10"/>
        <v>0</v>
      </c>
      <c r="AE36" s="26">
        <f t="shared" si="11"/>
        <v>0</v>
      </c>
      <c r="AF36" s="26">
        <f t="shared" si="12"/>
        <v>0</v>
      </c>
      <c r="AG36" s="26">
        <f t="shared" si="13"/>
        <v>0</v>
      </c>
    </row>
    <row r="37" spans="1:33" x14ac:dyDescent="0.25">
      <c r="A37" s="88" t="s">
        <v>55</v>
      </c>
      <c r="B37" s="14">
        <v>23</v>
      </c>
      <c r="C37" s="14">
        <v>3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f t="shared" si="7"/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f t="shared" si="8"/>
        <v>0</v>
      </c>
      <c r="X37" s="14">
        <v>0</v>
      </c>
      <c r="Y37" s="14">
        <v>0</v>
      </c>
      <c r="Z37" s="14">
        <f t="shared" si="9"/>
        <v>0</v>
      </c>
      <c r="AB37" s="88" t="s">
        <v>55</v>
      </c>
      <c r="AC37" s="26">
        <f t="shared" si="10"/>
        <v>0.88461538461538458</v>
      </c>
      <c r="AD37" s="26">
        <f t="shared" si="10"/>
        <v>0.11538461538461539</v>
      </c>
      <c r="AE37" s="26">
        <f t="shared" si="11"/>
        <v>0</v>
      </c>
      <c r="AF37" s="26">
        <f t="shared" si="12"/>
        <v>0</v>
      </c>
      <c r="AG37" s="26">
        <f t="shared" si="13"/>
        <v>0</v>
      </c>
    </row>
    <row r="38" spans="1:33" x14ac:dyDescent="0.25">
      <c r="A38" s="88" t="s">
        <v>80</v>
      </c>
      <c r="B38" s="14">
        <v>36</v>
      </c>
      <c r="C38" s="14">
        <v>8</v>
      </c>
      <c r="D38" s="14">
        <v>3</v>
      </c>
      <c r="E38" s="14">
        <v>1</v>
      </c>
      <c r="F38" s="14">
        <v>3</v>
      </c>
      <c r="G38" s="14">
        <v>1</v>
      </c>
      <c r="H38" s="14">
        <v>0</v>
      </c>
      <c r="I38" s="14">
        <v>0</v>
      </c>
      <c r="J38" s="14">
        <f t="shared" si="7"/>
        <v>8</v>
      </c>
      <c r="K38" s="14">
        <v>1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f t="shared" si="8"/>
        <v>1</v>
      </c>
      <c r="X38" s="14">
        <v>0</v>
      </c>
      <c r="Y38" s="14">
        <v>0</v>
      </c>
      <c r="Z38" s="14">
        <f t="shared" si="9"/>
        <v>0</v>
      </c>
      <c r="AB38" s="88" t="s">
        <v>80</v>
      </c>
      <c r="AC38" s="26">
        <f t="shared" si="10"/>
        <v>0.67924528301886788</v>
      </c>
      <c r="AD38" s="26">
        <f t="shared" si="10"/>
        <v>0.15094339622641509</v>
      </c>
      <c r="AE38" s="26">
        <f t="shared" si="11"/>
        <v>0.15094339622641509</v>
      </c>
      <c r="AF38" s="26">
        <f t="shared" si="12"/>
        <v>1.8867924528301886E-2</v>
      </c>
      <c r="AG38" s="26">
        <f t="shared" si="13"/>
        <v>0</v>
      </c>
    </row>
    <row r="39" spans="1:33" x14ac:dyDescent="0.25">
      <c r="A39" s="88" t="s">
        <v>56</v>
      </c>
      <c r="B39" s="14">
        <v>30</v>
      </c>
      <c r="C39" s="14">
        <v>11</v>
      </c>
      <c r="D39" s="14">
        <v>4</v>
      </c>
      <c r="E39" s="14">
        <v>6</v>
      </c>
      <c r="F39" s="14">
        <v>1</v>
      </c>
      <c r="G39" s="14">
        <v>1</v>
      </c>
      <c r="H39" s="14">
        <v>0</v>
      </c>
      <c r="I39" s="14">
        <v>1</v>
      </c>
      <c r="J39" s="14">
        <f t="shared" si="7"/>
        <v>13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1</v>
      </c>
      <c r="S39" s="14">
        <v>0</v>
      </c>
      <c r="T39" s="14">
        <v>0</v>
      </c>
      <c r="U39" s="14">
        <v>0</v>
      </c>
      <c r="V39" s="14">
        <v>0</v>
      </c>
      <c r="W39" s="14">
        <f t="shared" si="8"/>
        <v>2</v>
      </c>
      <c r="X39" s="14">
        <v>1</v>
      </c>
      <c r="Y39" s="14">
        <v>0</v>
      </c>
      <c r="Z39" s="14">
        <f t="shared" si="9"/>
        <v>1</v>
      </c>
      <c r="AB39" s="88" t="s">
        <v>56</v>
      </c>
      <c r="AC39" s="26">
        <f t="shared" si="10"/>
        <v>0.52631578947368418</v>
      </c>
      <c r="AD39" s="26">
        <f t="shared" si="10"/>
        <v>0.19298245614035087</v>
      </c>
      <c r="AE39" s="26">
        <f t="shared" si="11"/>
        <v>0.22807017543859648</v>
      </c>
      <c r="AF39" s="26">
        <f t="shared" si="12"/>
        <v>3.5087719298245612E-2</v>
      </c>
      <c r="AG39" s="26">
        <f t="shared" si="13"/>
        <v>1.7543859649122806E-2</v>
      </c>
    </row>
    <row r="40" spans="1:33" x14ac:dyDescent="0.25">
      <c r="A40" s="88" t="s">
        <v>57</v>
      </c>
      <c r="B40" s="14">
        <v>10</v>
      </c>
      <c r="C40" s="14">
        <v>2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f t="shared" si="7"/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f t="shared" si="8"/>
        <v>0</v>
      </c>
      <c r="X40" s="14">
        <v>0</v>
      </c>
      <c r="Y40" s="14">
        <v>0</v>
      </c>
      <c r="Z40" s="14">
        <f t="shared" si="9"/>
        <v>0</v>
      </c>
      <c r="AB40" s="88" t="s">
        <v>57</v>
      </c>
      <c r="AC40" s="26">
        <f t="shared" si="10"/>
        <v>0.83333333333333337</v>
      </c>
      <c r="AD40" s="26">
        <f t="shared" si="10"/>
        <v>0.16666666666666666</v>
      </c>
      <c r="AE40" s="26">
        <f t="shared" si="11"/>
        <v>0</v>
      </c>
      <c r="AF40" s="26">
        <f t="shared" si="12"/>
        <v>0</v>
      </c>
      <c r="AG40" s="26">
        <f t="shared" si="13"/>
        <v>0</v>
      </c>
    </row>
    <row r="41" spans="1:33" x14ac:dyDescent="0.25">
      <c r="A41" s="88" t="s">
        <v>86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f t="shared" si="7"/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f t="shared" si="8"/>
        <v>0</v>
      </c>
      <c r="X41" s="14">
        <v>0</v>
      </c>
      <c r="Y41" s="14">
        <v>0</v>
      </c>
      <c r="Z41" s="14">
        <f t="shared" si="9"/>
        <v>0</v>
      </c>
      <c r="AB41" s="88" t="s">
        <v>86</v>
      </c>
      <c r="AC41" s="26" t="str">
        <f t="shared" si="10"/>
        <v/>
      </c>
      <c r="AD41" s="26" t="str">
        <f t="shared" si="10"/>
        <v/>
      </c>
      <c r="AE41" s="26" t="str">
        <f t="shared" si="11"/>
        <v/>
      </c>
      <c r="AF41" s="26" t="str">
        <f t="shared" si="12"/>
        <v/>
      </c>
      <c r="AG41" s="26" t="str">
        <f t="shared" si="13"/>
        <v/>
      </c>
    </row>
    <row r="42" spans="1:33" x14ac:dyDescent="0.25">
      <c r="A42" s="95" t="s">
        <v>59</v>
      </c>
      <c r="B42" s="96">
        <v>3431</v>
      </c>
      <c r="C42" s="96">
        <v>985</v>
      </c>
      <c r="D42" s="96">
        <v>380</v>
      </c>
      <c r="E42" s="96">
        <v>197</v>
      </c>
      <c r="F42" s="96">
        <v>123</v>
      </c>
      <c r="G42" s="96">
        <v>76</v>
      </c>
      <c r="H42" s="96">
        <v>38</v>
      </c>
      <c r="I42" s="96">
        <v>38</v>
      </c>
      <c r="J42" s="61">
        <f t="shared" si="7"/>
        <v>852</v>
      </c>
      <c r="K42" s="96">
        <v>28</v>
      </c>
      <c r="L42" s="96">
        <v>21</v>
      </c>
      <c r="M42" s="96">
        <v>19</v>
      </c>
      <c r="N42" s="96">
        <v>9</v>
      </c>
      <c r="O42" s="96">
        <v>7</v>
      </c>
      <c r="P42" s="96">
        <v>10</v>
      </c>
      <c r="Q42" s="96">
        <v>5</v>
      </c>
      <c r="R42" s="96">
        <v>6</v>
      </c>
      <c r="S42" s="96">
        <v>6</v>
      </c>
      <c r="T42" s="96">
        <v>4</v>
      </c>
      <c r="U42" s="96">
        <v>3</v>
      </c>
      <c r="V42" s="96">
        <v>2</v>
      </c>
      <c r="W42" s="61">
        <f t="shared" si="8"/>
        <v>120</v>
      </c>
      <c r="X42" s="96">
        <v>10</v>
      </c>
      <c r="Y42" s="96">
        <v>7</v>
      </c>
      <c r="Z42" s="61">
        <f t="shared" si="9"/>
        <v>17</v>
      </c>
      <c r="AB42" s="95" t="s">
        <v>59</v>
      </c>
      <c r="AC42" s="101">
        <f t="shared" si="10"/>
        <v>0.63478260869565217</v>
      </c>
      <c r="AD42" s="101">
        <f t="shared" si="10"/>
        <v>0.18223866790009249</v>
      </c>
      <c r="AE42" s="62">
        <f t="shared" si="11"/>
        <v>0.157631822386679</v>
      </c>
      <c r="AF42" s="62">
        <f t="shared" si="12"/>
        <v>2.2201665124884366E-2</v>
      </c>
      <c r="AG42" s="62">
        <f t="shared" si="13"/>
        <v>3.1452358926919517E-3</v>
      </c>
    </row>
  </sheetData>
  <mergeCells count="4">
    <mergeCell ref="A3:B3"/>
    <mergeCell ref="A24:B24"/>
    <mergeCell ref="AB3:AD3"/>
    <mergeCell ref="AB24:AC24"/>
  </mergeCells>
  <hyperlinks>
    <hyperlink ref="AA1" location="INDICE!A1" display="INDIC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"/>
  <sheetViews>
    <sheetView topLeftCell="J1" workbookViewId="0">
      <selection activeCell="AA1" sqref="AA1"/>
    </sheetView>
  </sheetViews>
  <sheetFormatPr baseColWidth="10" defaultRowHeight="15" x14ac:dyDescent="0.25"/>
  <cols>
    <col min="1" max="1" width="22.140625" customWidth="1"/>
    <col min="4" max="9" width="0" hidden="1" customWidth="1"/>
    <col min="11" max="22" width="0" hidden="1" customWidth="1"/>
    <col min="24" max="25" width="0" hidden="1" customWidth="1"/>
    <col min="28" max="28" width="18" customWidth="1"/>
  </cols>
  <sheetData>
    <row r="1" spans="1:33" x14ac:dyDescent="0.25">
      <c r="Z1" s="2" t="s">
        <v>0</v>
      </c>
      <c r="AA1" s="176" t="s">
        <v>1</v>
      </c>
      <c r="AB1" s="2" t="s">
        <v>216</v>
      </c>
      <c r="AC1" t="s">
        <v>226</v>
      </c>
    </row>
    <row r="2" spans="1:33" ht="18.75" x14ac:dyDescent="0.3">
      <c r="A2" s="94" t="s">
        <v>145</v>
      </c>
    </row>
    <row r="3" spans="1:33" x14ac:dyDescent="0.25">
      <c r="A3" s="310" t="s">
        <v>116</v>
      </c>
      <c r="B3" s="310"/>
      <c r="C3" s="93"/>
      <c r="D3" s="92"/>
      <c r="AB3" s="310" t="s">
        <v>116</v>
      </c>
      <c r="AC3" s="310"/>
      <c r="AD3" s="310"/>
      <c r="AE3" s="92"/>
    </row>
    <row r="4" spans="1:33" ht="15.75" x14ac:dyDescent="0.25">
      <c r="A4" s="97" t="s">
        <v>94</v>
      </c>
      <c r="B4" s="98" t="s">
        <v>117</v>
      </c>
      <c r="C4" s="98" t="s">
        <v>118</v>
      </c>
      <c r="D4" s="98" t="s">
        <v>119</v>
      </c>
      <c r="E4" s="98" t="s">
        <v>120</v>
      </c>
      <c r="F4" s="98" t="s">
        <v>121</v>
      </c>
      <c r="G4" s="98" t="s">
        <v>122</v>
      </c>
      <c r="H4" s="98" t="s">
        <v>123</v>
      </c>
      <c r="I4" s="98" t="s">
        <v>124</v>
      </c>
      <c r="J4" s="99" t="s">
        <v>125</v>
      </c>
      <c r="K4" s="98" t="s">
        <v>126</v>
      </c>
      <c r="L4" s="98" t="s">
        <v>127</v>
      </c>
      <c r="M4" s="98" t="s">
        <v>128</v>
      </c>
      <c r="N4" s="98" t="s">
        <v>129</v>
      </c>
      <c r="O4" s="98" t="s">
        <v>130</v>
      </c>
      <c r="P4" s="98" t="s">
        <v>131</v>
      </c>
      <c r="Q4" s="98" t="s">
        <v>132</v>
      </c>
      <c r="R4" s="98" t="s">
        <v>133</v>
      </c>
      <c r="S4" s="98" t="s">
        <v>134</v>
      </c>
      <c r="T4" s="98" t="s">
        <v>135</v>
      </c>
      <c r="U4" s="98" t="s">
        <v>136</v>
      </c>
      <c r="V4" s="98" t="s">
        <v>137</v>
      </c>
      <c r="W4" s="99" t="s">
        <v>138</v>
      </c>
      <c r="X4" s="98" t="s">
        <v>139</v>
      </c>
      <c r="Y4" s="98" t="s">
        <v>140</v>
      </c>
      <c r="Z4" s="99" t="s">
        <v>141</v>
      </c>
      <c r="AB4" s="97" t="s">
        <v>94</v>
      </c>
      <c r="AC4" s="98" t="s">
        <v>117</v>
      </c>
      <c r="AD4" s="98" t="s">
        <v>118</v>
      </c>
      <c r="AE4" s="100" t="s">
        <v>125</v>
      </c>
      <c r="AF4" s="99" t="s">
        <v>138</v>
      </c>
      <c r="AG4" s="99" t="s">
        <v>141</v>
      </c>
    </row>
    <row r="5" spans="1:33" x14ac:dyDescent="0.25">
      <c r="A5" s="88" t="s">
        <v>49</v>
      </c>
      <c r="B5" s="14">
        <v>0.46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f>SUM(D5:I5)</f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f>SUM(K5:V5)</f>
        <v>0</v>
      </c>
      <c r="X5" s="14">
        <v>0</v>
      </c>
      <c r="Y5" s="14">
        <v>0</v>
      </c>
      <c r="Z5" s="14">
        <f>SUM(X5:Y5)</f>
        <v>0</v>
      </c>
      <c r="AB5" s="88" t="s">
        <v>49</v>
      </c>
      <c r="AC5" s="26">
        <f>IFERROR(B5/SUM($B5+$C5+$J5+$W5+$Z5),"")</f>
        <v>1</v>
      </c>
      <c r="AD5" s="26">
        <f>IFERROR(C5/SUM($B5+$C5+$J5+$W5+$Z5),"")</f>
        <v>0</v>
      </c>
      <c r="AE5" s="26">
        <f>IFERROR(J5/SUM($B5+$C5+$J5+$W5+$Z5),"")</f>
        <v>0</v>
      </c>
      <c r="AF5" s="26">
        <f>IFERROR(W5/SUM($B5+$C5+$J5+$W5+$Z5),"")</f>
        <v>0</v>
      </c>
      <c r="AG5" s="26">
        <f>IFERROR(Z5/SUM($B5+$C5+$J5+$W5+$Z5),"")</f>
        <v>0</v>
      </c>
    </row>
    <row r="6" spans="1:33" x14ac:dyDescent="0.25">
      <c r="A6" s="88" t="s">
        <v>50</v>
      </c>
      <c r="B6" s="14">
        <v>31.28</v>
      </c>
      <c r="C6" s="14">
        <v>7.29</v>
      </c>
      <c r="D6" s="14">
        <v>14.52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f t="shared" ref="J6:J21" si="0">SUM(D6:I6)</f>
        <v>14.52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f t="shared" ref="W6:W21" si="1">SUM(K6:V6)</f>
        <v>0</v>
      </c>
      <c r="X6" s="14">
        <v>0</v>
      </c>
      <c r="Y6" s="14">
        <v>0</v>
      </c>
      <c r="Z6" s="14">
        <f t="shared" ref="Z6:Z21" si="2">SUM(X6:Y6)</f>
        <v>0</v>
      </c>
      <c r="AB6" s="88" t="s">
        <v>50</v>
      </c>
      <c r="AC6" s="26">
        <f t="shared" ref="AC6:AD21" si="3">IFERROR(B6/SUM($B6+$C6+$J6+$W6+$Z6),"")</f>
        <v>0.58918817103032584</v>
      </c>
      <c r="AD6" s="26">
        <f t="shared" si="3"/>
        <v>0.13731399510265585</v>
      </c>
      <c r="AE6" s="26">
        <f t="shared" ref="AE6:AE21" si="4">IFERROR(J6/SUM($B6+$C6+$J6+$W6+$Z6),"")</f>
        <v>0.27349783386701826</v>
      </c>
      <c r="AF6" s="26">
        <f t="shared" ref="AF6:AF21" si="5">IFERROR(W6/SUM($B6+$C6+$J6+$W6+$Z6),"")</f>
        <v>0</v>
      </c>
      <c r="AG6" s="26">
        <f t="shared" ref="AG6:AG21" si="6">IFERROR(Z6/SUM($B6+$C6+$J6+$W6+$Z6),"")</f>
        <v>0</v>
      </c>
    </row>
    <row r="7" spans="1:33" x14ac:dyDescent="0.25">
      <c r="A7" s="88" t="s">
        <v>63</v>
      </c>
      <c r="B7" s="14">
        <v>1.91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f t="shared" si="0"/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f t="shared" si="1"/>
        <v>0</v>
      </c>
      <c r="X7" s="14">
        <v>0</v>
      </c>
      <c r="Y7" s="14">
        <v>0</v>
      </c>
      <c r="Z7" s="14">
        <f t="shared" si="2"/>
        <v>0</v>
      </c>
      <c r="AB7" s="88" t="s">
        <v>63</v>
      </c>
      <c r="AC7" s="26">
        <f t="shared" si="3"/>
        <v>1</v>
      </c>
      <c r="AD7" s="26">
        <f t="shared" si="3"/>
        <v>0</v>
      </c>
      <c r="AE7" s="26">
        <f t="shared" si="4"/>
        <v>0</v>
      </c>
      <c r="AF7" s="26">
        <f t="shared" si="5"/>
        <v>0</v>
      </c>
      <c r="AG7" s="26">
        <f t="shared" si="6"/>
        <v>0</v>
      </c>
    </row>
    <row r="8" spans="1:33" x14ac:dyDescent="0.25">
      <c r="A8" s="88" t="s">
        <v>60</v>
      </c>
      <c r="B8" s="14">
        <v>256.70999999999998</v>
      </c>
      <c r="C8" s="14">
        <v>101.14</v>
      </c>
      <c r="D8" s="14">
        <v>34.729999999999997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f t="shared" si="0"/>
        <v>34.729999999999997</v>
      </c>
      <c r="K8" s="14">
        <v>42.58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f t="shared" si="1"/>
        <v>42.58</v>
      </c>
      <c r="X8" s="14">
        <v>0</v>
      </c>
      <c r="Y8" s="14">
        <v>0</v>
      </c>
      <c r="Z8" s="14">
        <f t="shared" si="2"/>
        <v>0</v>
      </c>
      <c r="AB8" s="88" t="s">
        <v>60</v>
      </c>
      <c r="AC8" s="26">
        <f t="shared" si="3"/>
        <v>0.58992094861660083</v>
      </c>
      <c r="AD8" s="26">
        <f t="shared" si="3"/>
        <v>0.2324202592150014</v>
      </c>
      <c r="AE8" s="26">
        <f t="shared" si="4"/>
        <v>7.980972515856237E-2</v>
      </c>
      <c r="AF8" s="26">
        <f t="shared" si="5"/>
        <v>9.7849067009835464E-2</v>
      </c>
      <c r="AG8" s="26">
        <f t="shared" si="6"/>
        <v>0</v>
      </c>
    </row>
    <row r="9" spans="1:33" x14ac:dyDescent="0.25">
      <c r="A9" s="88" t="s">
        <v>53</v>
      </c>
      <c r="B9" s="14">
        <v>5.64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f t="shared" si="0"/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f t="shared" si="1"/>
        <v>0</v>
      </c>
      <c r="X9" s="14">
        <v>0</v>
      </c>
      <c r="Y9" s="14">
        <v>0</v>
      </c>
      <c r="Z9" s="14">
        <f t="shared" si="2"/>
        <v>0</v>
      </c>
      <c r="AB9" s="88" t="s">
        <v>53</v>
      </c>
      <c r="AC9" s="26">
        <f t="shared" si="3"/>
        <v>1</v>
      </c>
      <c r="AD9" s="26">
        <f t="shared" si="3"/>
        <v>0</v>
      </c>
      <c r="AE9" s="26">
        <f t="shared" si="4"/>
        <v>0</v>
      </c>
      <c r="AF9" s="26">
        <f t="shared" si="5"/>
        <v>0</v>
      </c>
      <c r="AG9" s="26">
        <f t="shared" si="6"/>
        <v>0</v>
      </c>
    </row>
    <row r="10" spans="1:33" x14ac:dyDescent="0.25">
      <c r="A10" s="88" t="s">
        <v>52</v>
      </c>
      <c r="B10" s="14">
        <v>5.94</v>
      </c>
      <c r="C10" s="14">
        <v>7.67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f t="shared" si="0"/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f t="shared" si="1"/>
        <v>0</v>
      </c>
      <c r="X10" s="14">
        <v>0</v>
      </c>
      <c r="Y10" s="14">
        <v>0</v>
      </c>
      <c r="Z10" s="14">
        <f t="shared" si="2"/>
        <v>0</v>
      </c>
      <c r="AB10" s="88" t="s">
        <v>52</v>
      </c>
      <c r="AC10" s="26">
        <f t="shared" si="3"/>
        <v>0.43644379132990452</v>
      </c>
      <c r="AD10" s="26">
        <f t="shared" si="3"/>
        <v>0.56355620867009548</v>
      </c>
      <c r="AE10" s="26">
        <f t="shared" si="4"/>
        <v>0</v>
      </c>
      <c r="AF10" s="26">
        <f t="shared" si="5"/>
        <v>0</v>
      </c>
      <c r="AG10" s="26">
        <f t="shared" si="6"/>
        <v>0</v>
      </c>
    </row>
    <row r="11" spans="1:33" x14ac:dyDescent="0.25">
      <c r="A11" s="88" t="s">
        <v>65</v>
      </c>
      <c r="B11" s="14">
        <v>0.33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f t="shared" si="0"/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f t="shared" si="1"/>
        <v>0</v>
      </c>
      <c r="X11" s="14">
        <v>0</v>
      </c>
      <c r="Y11" s="14">
        <v>0</v>
      </c>
      <c r="Z11" s="14">
        <f t="shared" si="2"/>
        <v>0</v>
      </c>
      <c r="AB11" s="88" t="s">
        <v>65</v>
      </c>
      <c r="AC11" s="26">
        <f t="shared" si="3"/>
        <v>1</v>
      </c>
      <c r="AD11" s="26">
        <f t="shared" si="3"/>
        <v>0</v>
      </c>
      <c r="AE11" s="26">
        <f t="shared" si="4"/>
        <v>0</v>
      </c>
      <c r="AF11" s="26">
        <f t="shared" si="5"/>
        <v>0</v>
      </c>
      <c r="AG11" s="26">
        <f t="shared" si="6"/>
        <v>0</v>
      </c>
    </row>
    <row r="12" spans="1:33" x14ac:dyDescent="0.25">
      <c r="A12" s="88" t="s">
        <v>51</v>
      </c>
      <c r="B12" s="14">
        <v>4741.1549999999997</v>
      </c>
      <c r="C12" s="14">
        <v>2540.8000000000002</v>
      </c>
      <c r="D12" s="14">
        <v>1163.9000000000001</v>
      </c>
      <c r="E12" s="14">
        <v>745.5</v>
      </c>
      <c r="F12" s="14">
        <v>238.78</v>
      </c>
      <c r="G12" s="14">
        <v>274.24</v>
      </c>
      <c r="H12" s="14">
        <v>67.28</v>
      </c>
      <c r="I12" s="14">
        <v>35.26</v>
      </c>
      <c r="J12" s="14">
        <f t="shared" si="0"/>
        <v>2524.9600000000005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198.29</v>
      </c>
      <c r="Q12" s="14">
        <v>70.98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f t="shared" si="1"/>
        <v>269.27</v>
      </c>
      <c r="X12" s="14">
        <v>0</v>
      </c>
      <c r="Y12" s="14">
        <v>0</v>
      </c>
      <c r="Z12" s="14">
        <f t="shared" si="2"/>
        <v>0</v>
      </c>
      <c r="AB12" s="88" t="s">
        <v>51</v>
      </c>
      <c r="AC12" s="26">
        <f t="shared" si="3"/>
        <v>0.47053076139431732</v>
      </c>
      <c r="AD12" s="26">
        <f t="shared" si="3"/>
        <v>0.25215892721302752</v>
      </c>
      <c r="AE12" s="26">
        <f t="shared" si="4"/>
        <v>0.25058690367435693</v>
      </c>
      <c r="AF12" s="26">
        <f t="shared" si="5"/>
        <v>2.6723407718298141E-2</v>
      </c>
      <c r="AG12" s="26">
        <f t="shared" si="6"/>
        <v>0</v>
      </c>
    </row>
    <row r="13" spans="1:33" x14ac:dyDescent="0.25">
      <c r="A13" s="88" t="s">
        <v>54</v>
      </c>
      <c r="B13" s="14">
        <v>1.44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f t="shared" si="0"/>
        <v>0</v>
      </c>
      <c r="K13" s="14">
        <v>0</v>
      </c>
      <c r="L13" s="14">
        <v>46.49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f t="shared" si="1"/>
        <v>46.49</v>
      </c>
      <c r="X13" s="14">
        <v>0</v>
      </c>
      <c r="Y13" s="14">
        <v>0</v>
      </c>
      <c r="Z13" s="14">
        <f t="shared" si="2"/>
        <v>0</v>
      </c>
      <c r="AB13" s="88" t="s">
        <v>54</v>
      </c>
      <c r="AC13" s="26">
        <f t="shared" si="3"/>
        <v>3.0043813895263925E-2</v>
      </c>
      <c r="AD13" s="26">
        <f t="shared" si="3"/>
        <v>0</v>
      </c>
      <c r="AE13" s="26">
        <f t="shared" si="4"/>
        <v>0</v>
      </c>
      <c r="AF13" s="26">
        <f t="shared" si="5"/>
        <v>0.96995618610473611</v>
      </c>
      <c r="AG13" s="26">
        <f t="shared" si="6"/>
        <v>0</v>
      </c>
    </row>
    <row r="14" spans="1:33" x14ac:dyDescent="0.25">
      <c r="A14" s="88" t="s">
        <v>67</v>
      </c>
      <c r="B14" s="14">
        <v>1.76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f t="shared" si="0"/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f t="shared" si="1"/>
        <v>0</v>
      </c>
      <c r="X14" s="14">
        <v>0</v>
      </c>
      <c r="Y14" s="14">
        <v>0</v>
      </c>
      <c r="Z14" s="14">
        <f t="shared" si="2"/>
        <v>0</v>
      </c>
      <c r="AB14" s="88" t="s">
        <v>67</v>
      </c>
      <c r="AC14" s="26">
        <f t="shared" si="3"/>
        <v>1</v>
      </c>
      <c r="AD14" s="26">
        <f t="shared" si="3"/>
        <v>0</v>
      </c>
      <c r="AE14" s="26">
        <f t="shared" si="4"/>
        <v>0</v>
      </c>
      <c r="AF14" s="26">
        <f t="shared" si="5"/>
        <v>0</v>
      </c>
      <c r="AG14" s="26">
        <f t="shared" si="6"/>
        <v>0</v>
      </c>
    </row>
    <row r="15" spans="1:33" x14ac:dyDescent="0.25">
      <c r="A15" s="88" t="s">
        <v>75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f t="shared" si="0"/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f t="shared" si="1"/>
        <v>0</v>
      </c>
      <c r="X15" s="14">
        <v>0</v>
      </c>
      <c r="Y15" s="14">
        <v>0</v>
      </c>
      <c r="Z15" s="14">
        <f t="shared" si="2"/>
        <v>0</v>
      </c>
      <c r="AB15" s="88" t="s">
        <v>75</v>
      </c>
      <c r="AC15" s="26" t="str">
        <f t="shared" si="3"/>
        <v/>
      </c>
      <c r="AD15" s="26" t="str">
        <f t="shared" si="3"/>
        <v/>
      </c>
      <c r="AE15" s="26" t="str">
        <f t="shared" si="4"/>
        <v/>
      </c>
      <c r="AF15" s="26" t="str">
        <f t="shared" si="5"/>
        <v/>
      </c>
      <c r="AG15" s="26" t="str">
        <f t="shared" si="6"/>
        <v/>
      </c>
    </row>
    <row r="16" spans="1:33" x14ac:dyDescent="0.25">
      <c r="A16" s="88" t="s">
        <v>55</v>
      </c>
      <c r="B16" s="14">
        <v>0.5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f t="shared" si="0"/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f t="shared" si="1"/>
        <v>0</v>
      </c>
      <c r="X16" s="14">
        <v>0</v>
      </c>
      <c r="Y16" s="14">
        <v>0</v>
      </c>
      <c r="Z16" s="14">
        <f t="shared" si="2"/>
        <v>0</v>
      </c>
      <c r="AB16" s="88" t="s">
        <v>55</v>
      </c>
      <c r="AC16" s="26">
        <f t="shared" si="3"/>
        <v>1</v>
      </c>
      <c r="AD16" s="26">
        <f t="shared" si="3"/>
        <v>0</v>
      </c>
      <c r="AE16" s="26">
        <f t="shared" si="4"/>
        <v>0</v>
      </c>
      <c r="AF16" s="26">
        <f t="shared" si="5"/>
        <v>0</v>
      </c>
      <c r="AG16" s="26">
        <f t="shared" si="6"/>
        <v>0</v>
      </c>
    </row>
    <row r="17" spans="1:33" x14ac:dyDescent="0.25">
      <c r="A17" s="88" t="s">
        <v>80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f t="shared" si="0"/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f t="shared" si="1"/>
        <v>0</v>
      </c>
      <c r="X17" s="14">
        <v>0</v>
      </c>
      <c r="Y17" s="14">
        <v>0</v>
      </c>
      <c r="Z17" s="14">
        <f t="shared" si="2"/>
        <v>0</v>
      </c>
      <c r="AB17" s="88" t="s">
        <v>80</v>
      </c>
      <c r="AC17" s="26" t="str">
        <f t="shared" si="3"/>
        <v/>
      </c>
      <c r="AD17" s="26" t="str">
        <f t="shared" si="3"/>
        <v/>
      </c>
      <c r="AE17" s="26" t="str">
        <f t="shared" si="4"/>
        <v/>
      </c>
      <c r="AF17" s="26" t="str">
        <f t="shared" si="5"/>
        <v/>
      </c>
      <c r="AG17" s="26" t="str">
        <f t="shared" si="6"/>
        <v/>
      </c>
    </row>
    <row r="18" spans="1:33" x14ac:dyDescent="0.25">
      <c r="A18" s="88" t="s">
        <v>56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f t="shared" si="0"/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f t="shared" si="1"/>
        <v>0</v>
      </c>
      <c r="X18" s="14">
        <v>0</v>
      </c>
      <c r="Y18" s="14">
        <v>0</v>
      </c>
      <c r="Z18" s="14">
        <f t="shared" si="2"/>
        <v>0</v>
      </c>
      <c r="AB18" s="88" t="s">
        <v>56</v>
      </c>
      <c r="AC18" s="26" t="str">
        <f t="shared" si="3"/>
        <v/>
      </c>
      <c r="AD18" s="26" t="str">
        <f t="shared" si="3"/>
        <v/>
      </c>
      <c r="AE18" s="26" t="str">
        <f t="shared" si="4"/>
        <v/>
      </c>
      <c r="AF18" s="26" t="str">
        <f t="shared" si="5"/>
        <v/>
      </c>
      <c r="AG18" s="26" t="str">
        <f t="shared" si="6"/>
        <v/>
      </c>
    </row>
    <row r="19" spans="1:33" x14ac:dyDescent="0.25">
      <c r="A19" s="88" t="s">
        <v>57</v>
      </c>
      <c r="B19" s="14">
        <v>2.27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f t="shared" si="0"/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f t="shared" si="1"/>
        <v>0</v>
      </c>
      <c r="X19" s="14">
        <v>0</v>
      </c>
      <c r="Y19" s="14">
        <v>0</v>
      </c>
      <c r="Z19" s="14">
        <f t="shared" si="2"/>
        <v>0</v>
      </c>
      <c r="AB19" s="88" t="s">
        <v>57</v>
      </c>
      <c r="AC19" s="26">
        <f t="shared" si="3"/>
        <v>1</v>
      </c>
      <c r="AD19" s="26">
        <f t="shared" si="3"/>
        <v>0</v>
      </c>
      <c r="AE19" s="26">
        <f t="shared" si="4"/>
        <v>0</v>
      </c>
      <c r="AF19" s="26">
        <f t="shared" si="5"/>
        <v>0</v>
      </c>
      <c r="AG19" s="26">
        <f t="shared" si="6"/>
        <v>0</v>
      </c>
    </row>
    <row r="20" spans="1:33" x14ac:dyDescent="0.25">
      <c r="A20" s="88" t="s">
        <v>86</v>
      </c>
      <c r="B20" s="14">
        <v>4.1399999999999997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f t="shared" si="0"/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f t="shared" si="1"/>
        <v>0</v>
      </c>
      <c r="X20" s="14">
        <v>0</v>
      </c>
      <c r="Y20" s="14">
        <v>0</v>
      </c>
      <c r="Z20" s="14">
        <f t="shared" si="2"/>
        <v>0</v>
      </c>
      <c r="AB20" s="88" t="s">
        <v>86</v>
      </c>
      <c r="AC20" s="26">
        <f t="shared" si="3"/>
        <v>1</v>
      </c>
      <c r="AD20" s="26">
        <f t="shared" si="3"/>
        <v>0</v>
      </c>
      <c r="AE20" s="26">
        <f t="shared" si="4"/>
        <v>0</v>
      </c>
      <c r="AF20" s="26">
        <f t="shared" si="5"/>
        <v>0</v>
      </c>
      <c r="AG20" s="26">
        <f t="shared" si="6"/>
        <v>0</v>
      </c>
    </row>
    <row r="21" spans="1:33" x14ac:dyDescent="0.25">
      <c r="A21" s="95" t="s">
        <v>59</v>
      </c>
      <c r="B21" s="96">
        <v>5053.5350000000199</v>
      </c>
      <c r="C21" s="96">
        <v>2656.9</v>
      </c>
      <c r="D21" s="96">
        <v>1213.1500000000001</v>
      </c>
      <c r="E21" s="96">
        <v>745.5</v>
      </c>
      <c r="F21" s="96">
        <v>238.78</v>
      </c>
      <c r="G21" s="96">
        <v>274.24</v>
      </c>
      <c r="H21" s="96">
        <v>67.28</v>
      </c>
      <c r="I21" s="96">
        <v>35.26</v>
      </c>
      <c r="J21" s="61">
        <f t="shared" si="0"/>
        <v>2574.2100000000005</v>
      </c>
      <c r="K21" s="96">
        <v>42.58</v>
      </c>
      <c r="L21" s="96">
        <v>46.49</v>
      </c>
      <c r="M21" s="96">
        <v>0</v>
      </c>
      <c r="N21" s="96">
        <v>0</v>
      </c>
      <c r="O21" s="96">
        <v>0</v>
      </c>
      <c r="P21" s="96">
        <v>198.29</v>
      </c>
      <c r="Q21" s="96">
        <v>70.98</v>
      </c>
      <c r="R21" s="96">
        <v>0</v>
      </c>
      <c r="S21" s="96">
        <v>0</v>
      </c>
      <c r="T21" s="96">
        <v>0</v>
      </c>
      <c r="U21" s="96">
        <v>0</v>
      </c>
      <c r="V21" s="96">
        <v>0</v>
      </c>
      <c r="W21" s="61">
        <f t="shared" si="1"/>
        <v>358.34000000000003</v>
      </c>
      <c r="X21" s="96">
        <v>0</v>
      </c>
      <c r="Y21" s="96">
        <v>0</v>
      </c>
      <c r="Z21" s="61">
        <f t="shared" si="2"/>
        <v>0</v>
      </c>
      <c r="AB21" s="95" t="s">
        <v>59</v>
      </c>
      <c r="AC21" s="101">
        <f t="shared" si="3"/>
        <v>0.47482308769579307</v>
      </c>
      <c r="AD21" s="101">
        <f t="shared" si="3"/>
        <v>0.24963861172406002</v>
      </c>
      <c r="AE21" s="62">
        <f t="shared" si="4"/>
        <v>0.24186917486024789</v>
      </c>
      <c r="AF21" s="62">
        <f t="shared" si="5"/>
        <v>3.366912571989901E-2</v>
      </c>
      <c r="AG21" s="62">
        <f t="shared" si="6"/>
        <v>0</v>
      </c>
    </row>
    <row r="24" spans="1:33" x14ac:dyDescent="0.25">
      <c r="A24" s="310" t="s">
        <v>147</v>
      </c>
      <c r="B24" s="310"/>
      <c r="C24" s="93"/>
      <c r="D24" s="92"/>
      <c r="AB24" s="310" t="s">
        <v>147</v>
      </c>
      <c r="AC24" s="310"/>
    </row>
    <row r="25" spans="1:33" ht="15.75" x14ac:dyDescent="0.25">
      <c r="A25" s="97" t="s">
        <v>94</v>
      </c>
      <c r="B25" s="98" t="s">
        <v>117</v>
      </c>
      <c r="C25" s="98" t="s">
        <v>118</v>
      </c>
      <c r="D25" s="98" t="s">
        <v>119</v>
      </c>
      <c r="E25" s="98" t="s">
        <v>120</v>
      </c>
      <c r="F25" s="98" t="s">
        <v>121</v>
      </c>
      <c r="G25" s="98" t="s">
        <v>122</v>
      </c>
      <c r="H25" s="98" t="s">
        <v>123</v>
      </c>
      <c r="I25" s="98" t="s">
        <v>124</v>
      </c>
      <c r="J25" s="99" t="s">
        <v>125</v>
      </c>
      <c r="K25" s="98" t="s">
        <v>126</v>
      </c>
      <c r="L25" s="98" t="s">
        <v>127</v>
      </c>
      <c r="M25" s="98" t="s">
        <v>128</v>
      </c>
      <c r="N25" s="98" t="s">
        <v>129</v>
      </c>
      <c r="O25" s="98" t="s">
        <v>130</v>
      </c>
      <c r="P25" s="98" t="s">
        <v>131</v>
      </c>
      <c r="Q25" s="98" t="s">
        <v>132</v>
      </c>
      <c r="R25" s="98" t="s">
        <v>133</v>
      </c>
      <c r="S25" s="98" t="s">
        <v>134</v>
      </c>
      <c r="T25" s="98" t="s">
        <v>135</v>
      </c>
      <c r="U25" s="98" t="s">
        <v>136</v>
      </c>
      <c r="V25" s="98" t="s">
        <v>137</v>
      </c>
      <c r="W25" s="99" t="s">
        <v>138</v>
      </c>
      <c r="X25" s="98" t="s">
        <v>139</v>
      </c>
      <c r="Y25" s="98" t="s">
        <v>140</v>
      </c>
      <c r="Z25" s="99" t="s">
        <v>141</v>
      </c>
      <c r="AB25" s="97" t="s">
        <v>94</v>
      </c>
      <c r="AC25" s="98" t="s">
        <v>117</v>
      </c>
      <c r="AD25" s="98" t="s">
        <v>118</v>
      </c>
      <c r="AE25" s="100" t="s">
        <v>125</v>
      </c>
      <c r="AF25" s="99" t="s">
        <v>138</v>
      </c>
      <c r="AG25" s="99" t="s">
        <v>141</v>
      </c>
    </row>
    <row r="26" spans="1:33" x14ac:dyDescent="0.25">
      <c r="A26" s="88" t="s">
        <v>49</v>
      </c>
      <c r="B26" s="14">
        <v>2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f>SUM(D26:I26)</f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f>SUM(K26:V26)</f>
        <v>0</v>
      </c>
      <c r="X26" s="14">
        <v>0</v>
      </c>
      <c r="Y26" s="14">
        <v>0</v>
      </c>
      <c r="Z26" s="14">
        <f>SUM(X26:Y26)</f>
        <v>0</v>
      </c>
      <c r="AB26" s="88" t="s">
        <v>49</v>
      </c>
      <c r="AC26" s="26">
        <f>IFERROR(B26/SUM($B26+$C26+$J26+$W26+$Z26),"")</f>
        <v>1</v>
      </c>
      <c r="AD26" s="26">
        <f>IFERROR(C26/SUM($B26+$C26+$J26+$W26+$Z26),"")</f>
        <v>0</v>
      </c>
      <c r="AE26" s="26">
        <f>IFERROR(J26/SUM($B26+$C26+$J26+$W26+$Z26),"")</f>
        <v>0</v>
      </c>
      <c r="AF26" s="26">
        <f>IFERROR(W26/SUM($B26+$C26+$J26+$W26+$Z26),"")</f>
        <v>0</v>
      </c>
      <c r="AG26" s="26">
        <f>IFERROR(Z26/SUM($B26+$C26+$J26+$W26+$Z26),"")</f>
        <v>0</v>
      </c>
    </row>
    <row r="27" spans="1:33" x14ac:dyDescent="0.25">
      <c r="A27" s="88" t="s">
        <v>50</v>
      </c>
      <c r="B27" s="14">
        <v>27</v>
      </c>
      <c r="C27" s="14">
        <v>1</v>
      </c>
      <c r="D27" s="14">
        <v>1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f t="shared" ref="J27:J42" si="7">SUM(D27:I27)</f>
        <v>1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f t="shared" ref="W27:W42" si="8">SUM(K27:V27)</f>
        <v>0</v>
      </c>
      <c r="X27" s="14">
        <v>0</v>
      </c>
      <c r="Y27" s="14">
        <v>0</v>
      </c>
      <c r="Z27" s="14">
        <f t="shared" ref="Z27:Z42" si="9">SUM(X27:Y27)</f>
        <v>0</v>
      </c>
      <c r="AB27" s="88" t="s">
        <v>50</v>
      </c>
      <c r="AC27" s="26">
        <f t="shared" ref="AC27:AD42" si="10">IFERROR(B27/SUM($B27+$C27+$J27+$W27+$Z27),"")</f>
        <v>0.93103448275862066</v>
      </c>
      <c r="AD27" s="26">
        <f t="shared" si="10"/>
        <v>3.4482758620689655E-2</v>
      </c>
      <c r="AE27" s="26">
        <f t="shared" ref="AE27:AE42" si="11">IFERROR(J27/SUM($B27+$C27+$J27+$W27+$Z27),"")</f>
        <v>3.4482758620689655E-2</v>
      </c>
      <c r="AF27" s="26">
        <f t="shared" ref="AF27:AF42" si="12">IFERROR(W27/SUM($B27+$C27+$J27+$W27+$Z27),"")</f>
        <v>0</v>
      </c>
      <c r="AG27" s="26">
        <f t="shared" ref="AG27:AG42" si="13">IFERROR(Z27/SUM($B27+$C27+$J27+$W27+$Z27),"")</f>
        <v>0</v>
      </c>
    </row>
    <row r="28" spans="1:33" x14ac:dyDescent="0.25">
      <c r="A28" s="88" t="s">
        <v>63</v>
      </c>
      <c r="B28" s="14">
        <v>6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f t="shared" si="7"/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f t="shared" si="8"/>
        <v>0</v>
      </c>
      <c r="X28" s="14">
        <v>0</v>
      </c>
      <c r="Y28" s="14">
        <v>0</v>
      </c>
      <c r="Z28" s="14">
        <f t="shared" si="9"/>
        <v>0</v>
      </c>
      <c r="AB28" s="88" t="s">
        <v>63</v>
      </c>
      <c r="AC28" s="26">
        <f t="shared" si="10"/>
        <v>1</v>
      </c>
      <c r="AD28" s="26">
        <f t="shared" si="10"/>
        <v>0</v>
      </c>
      <c r="AE28" s="26">
        <f t="shared" si="11"/>
        <v>0</v>
      </c>
      <c r="AF28" s="26">
        <f t="shared" si="12"/>
        <v>0</v>
      </c>
      <c r="AG28" s="26">
        <f t="shared" si="13"/>
        <v>0</v>
      </c>
    </row>
    <row r="29" spans="1:33" x14ac:dyDescent="0.25">
      <c r="A29" s="88" t="s">
        <v>60</v>
      </c>
      <c r="B29" s="14">
        <v>165</v>
      </c>
      <c r="C29" s="14">
        <v>16</v>
      </c>
      <c r="D29" s="14">
        <v>3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f t="shared" si="7"/>
        <v>3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f t="shared" si="8"/>
        <v>1</v>
      </c>
      <c r="X29" s="14">
        <v>0</v>
      </c>
      <c r="Y29" s="14">
        <v>0</v>
      </c>
      <c r="Z29" s="14">
        <f t="shared" si="9"/>
        <v>0</v>
      </c>
      <c r="AB29" s="88" t="s">
        <v>60</v>
      </c>
      <c r="AC29" s="26">
        <f t="shared" si="10"/>
        <v>0.89189189189189189</v>
      </c>
      <c r="AD29" s="26">
        <f t="shared" si="10"/>
        <v>8.6486486486486491E-2</v>
      </c>
      <c r="AE29" s="26">
        <f t="shared" si="11"/>
        <v>1.6216216216216217E-2</v>
      </c>
      <c r="AF29" s="26">
        <f t="shared" si="12"/>
        <v>5.4054054054054057E-3</v>
      </c>
      <c r="AG29" s="26">
        <f t="shared" si="13"/>
        <v>0</v>
      </c>
    </row>
    <row r="30" spans="1:33" x14ac:dyDescent="0.25">
      <c r="A30" s="88" t="s">
        <v>53</v>
      </c>
      <c r="B30" s="14">
        <v>9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f t="shared" si="7"/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f t="shared" si="8"/>
        <v>0</v>
      </c>
      <c r="X30" s="14">
        <v>0</v>
      </c>
      <c r="Y30" s="14">
        <v>0</v>
      </c>
      <c r="Z30" s="14">
        <f t="shared" si="9"/>
        <v>0</v>
      </c>
      <c r="AB30" s="88" t="s">
        <v>53</v>
      </c>
      <c r="AC30" s="26">
        <f t="shared" si="10"/>
        <v>1</v>
      </c>
      <c r="AD30" s="26">
        <f t="shared" si="10"/>
        <v>0</v>
      </c>
      <c r="AE30" s="26">
        <f t="shared" si="11"/>
        <v>0</v>
      </c>
      <c r="AF30" s="26">
        <f t="shared" si="12"/>
        <v>0</v>
      </c>
      <c r="AG30" s="26">
        <f t="shared" si="13"/>
        <v>0</v>
      </c>
    </row>
    <row r="31" spans="1:33" x14ac:dyDescent="0.25">
      <c r="A31" s="88" t="s">
        <v>52</v>
      </c>
      <c r="B31" s="14">
        <v>10</v>
      </c>
      <c r="C31" s="14">
        <v>1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f t="shared" si="7"/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f t="shared" si="8"/>
        <v>0</v>
      </c>
      <c r="X31" s="14">
        <v>0</v>
      </c>
      <c r="Y31" s="14">
        <v>0</v>
      </c>
      <c r="Z31" s="14">
        <f t="shared" si="9"/>
        <v>0</v>
      </c>
      <c r="AB31" s="88" t="s">
        <v>52</v>
      </c>
      <c r="AC31" s="26">
        <f t="shared" si="10"/>
        <v>0.90909090909090906</v>
      </c>
      <c r="AD31" s="26">
        <f t="shared" si="10"/>
        <v>9.0909090909090912E-2</v>
      </c>
      <c r="AE31" s="26">
        <f t="shared" si="11"/>
        <v>0</v>
      </c>
      <c r="AF31" s="26">
        <f t="shared" si="12"/>
        <v>0</v>
      </c>
      <c r="AG31" s="26">
        <f t="shared" si="13"/>
        <v>0</v>
      </c>
    </row>
    <row r="32" spans="1:33" x14ac:dyDescent="0.25">
      <c r="A32" s="88" t="s">
        <v>65</v>
      </c>
      <c r="B32" s="14">
        <v>2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f t="shared" si="7"/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f t="shared" si="8"/>
        <v>0</v>
      </c>
      <c r="X32" s="14">
        <v>0</v>
      </c>
      <c r="Y32" s="14">
        <v>0</v>
      </c>
      <c r="Z32" s="14">
        <f t="shared" si="9"/>
        <v>0</v>
      </c>
      <c r="AB32" s="88" t="s">
        <v>65</v>
      </c>
      <c r="AC32" s="26">
        <f t="shared" si="10"/>
        <v>1</v>
      </c>
      <c r="AD32" s="26">
        <f t="shared" si="10"/>
        <v>0</v>
      </c>
      <c r="AE32" s="26">
        <f t="shared" si="11"/>
        <v>0</v>
      </c>
      <c r="AF32" s="26">
        <f t="shared" si="12"/>
        <v>0</v>
      </c>
      <c r="AG32" s="26">
        <f t="shared" si="13"/>
        <v>0</v>
      </c>
    </row>
    <row r="33" spans="1:33" x14ac:dyDescent="0.25">
      <c r="A33" s="88" t="s">
        <v>51</v>
      </c>
      <c r="B33" s="14">
        <v>2863</v>
      </c>
      <c r="C33" s="14">
        <v>365</v>
      </c>
      <c r="D33" s="14">
        <v>98</v>
      </c>
      <c r="E33" s="14">
        <v>43</v>
      </c>
      <c r="F33" s="14">
        <v>11</v>
      </c>
      <c r="G33" s="14">
        <v>10</v>
      </c>
      <c r="H33" s="14">
        <v>2</v>
      </c>
      <c r="I33" s="14">
        <v>1</v>
      </c>
      <c r="J33" s="14">
        <f t="shared" si="7"/>
        <v>165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3</v>
      </c>
      <c r="Q33" s="14">
        <v>1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f t="shared" si="8"/>
        <v>4</v>
      </c>
      <c r="X33" s="14">
        <v>0</v>
      </c>
      <c r="Y33" s="14">
        <v>0</v>
      </c>
      <c r="Z33" s="14">
        <f t="shared" si="9"/>
        <v>0</v>
      </c>
      <c r="AB33" s="88" t="s">
        <v>51</v>
      </c>
      <c r="AC33" s="26">
        <f t="shared" si="10"/>
        <v>0.84280247277009124</v>
      </c>
      <c r="AD33" s="26">
        <f t="shared" si="10"/>
        <v>0.10744774801295261</v>
      </c>
      <c r="AE33" s="26">
        <f t="shared" si="11"/>
        <v>4.8572269649690906E-2</v>
      </c>
      <c r="AF33" s="26">
        <f t="shared" si="12"/>
        <v>1.1775095672652341E-3</v>
      </c>
      <c r="AG33" s="26">
        <f t="shared" si="13"/>
        <v>0</v>
      </c>
    </row>
    <row r="34" spans="1:33" x14ac:dyDescent="0.25">
      <c r="A34" s="88" t="s">
        <v>54</v>
      </c>
      <c r="B34" s="14">
        <v>8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f t="shared" si="7"/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f t="shared" si="8"/>
        <v>1</v>
      </c>
      <c r="X34" s="14">
        <v>0</v>
      </c>
      <c r="Y34" s="14">
        <v>0</v>
      </c>
      <c r="Z34" s="14">
        <f t="shared" si="9"/>
        <v>0</v>
      </c>
      <c r="AB34" s="88" t="s">
        <v>54</v>
      </c>
      <c r="AC34" s="26">
        <f t="shared" si="10"/>
        <v>0.88888888888888884</v>
      </c>
      <c r="AD34" s="26">
        <f t="shared" si="10"/>
        <v>0</v>
      </c>
      <c r="AE34" s="26">
        <f t="shared" si="11"/>
        <v>0</v>
      </c>
      <c r="AF34" s="26">
        <f t="shared" si="12"/>
        <v>0.1111111111111111</v>
      </c>
      <c r="AG34" s="26">
        <f t="shared" si="13"/>
        <v>0</v>
      </c>
    </row>
    <row r="35" spans="1:33" x14ac:dyDescent="0.25">
      <c r="A35" s="88" t="s">
        <v>67</v>
      </c>
      <c r="B35" s="14">
        <v>6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f t="shared" si="7"/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f t="shared" si="8"/>
        <v>0</v>
      </c>
      <c r="X35" s="14">
        <v>0</v>
      </c>
      <c r="Y35" s="14">
        <v>0</v>
      </c>
      <c r="Z35" s="14">
        <f t="shared" si="9"/>
        <v>0</v>
      </c>
      <c r="AB35" s="88" t="s">
        <v>67</v>
      </c>
      <c r="AC35" s="26">
        <f t="shared" si="10"/>
        <v>1</v>
      </c>
      <c r="AD35" s="26">
        <f t="shared" si="10"/>
        <v>0</v>
      </c>
      <c r="AE35" s="26">
        <f t="shared" si="11"/>
        <v>0</v>
      </c>
      <c r="AF35" s="26">
        <f t="shared" si="12"/>
        <v>0</v>
      </c>
      <c r="AG35" s="26">
        <f t="shared" si="13"/>
        <v>0</v>
      </c>
    </row>
    <row r="36" spans="1:33" x14ac:dyDescent="0.25">
      <c r="A36" s="88" t="s">
        <v>75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f t="shared" si="7"/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f t="shared" si="8"/>
        <v>0</v>
      </c>
      <c r="X36" s="14">
        <v>0</v>
      </c>
      <c r="Y36" s="14">
        <v>0</v>
      </c>
      <c r="Z36" s="14">
        <f t="shared" si="9"/>
        <v>0</v>
      </c>
      <c r="AB36" s="88" t="s">
        <v>75</v>
      </c>
      <c r="AC36" s="26" t="str">
        <f t="shared" si="10"/>
        <v/>
      </c>
      <c r="AD36" s="26" t="str">
        <f t="shared" si="10"/>
        <v/>
      </c>
      <c r="AE36" s="26" t="str">
        <f t="shared" si="11"/>
        <v/>
      </c>
      <c r="AF36" s="26" t="str">
        <f t="shared" si="12"/>
        <v/>
      </c>
      <c r="AG36" s="26" t="str">
        <f t="shared" si="13"/>
        <v/>
      </c>
    </row>
    <row r="37" spans="1:33" x14ac:dyDescent="0.25">
      <c r="A37" s="88" t="s">
        <v>55</v>
      </c>
      <c r="B37" s="14">
        <v>6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f t="shared" si="7"/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f t="shared" si="8"/>
        <v>0</v>
      </c>
      <c r="X37" s="14">
        <v>0</v>
      </c>
      <c r="Y37" s="14">
        <v>0</v>
      </c>
      <c r="Z37" s="14">
        <f t="shared" si="9"/>
        <v>0</v>
      </c>
      <c r="AB37" s="88" t="s">
        <v>55</v>
      </c>
      <c r="AC37" s="26">
        <f t="shared" si="10"/>
        <v>1</v>
      </c>
      <c r="AD37" s="26">
        <f t="shared" si="10"/>
        <v>0</v>
      </c>
      <c r="AE37" s="26">
        <f t="shared" si="11"/>
        <v>0</v>
      </c>
      <c r="AF37" s="26">
        <f t="shared" si="12"/>
        <v>0</v>
      </c>
      <c r="AG37" s="26">
        <f t="shared" si="13"/>
        <v>0</v>
      </c>
    </row>
    <row r="38" spans="1:33" x14ac:dyDescent="0.25">
      <c r="A38" s="88" t="s">
        <v>80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f t="shared" si="7"/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f t="shared" si="8"/>
        <v>0</v>
      </c>
      <c r="X38" s="14">
        <v>0</v>
      </c>
      <c r="Y38" s="14">
        <v>0</v>
      </c>
      <c r="Z38" s="14">
        <f t="shared" si="9"/>
        <v>0</v>
      </c>
      <c r="AB38" s="88" t="s">
        <v>80</v>
      </c>
      <c r="AC38" s="26" t="str">
        <f t="shared" si="10"/>
        <v/>
      </c>
      <c r="AD38" s="26" t="str">
        <f t="shared" si="10"/>
        <v/>
      </c>
      <c r="AE38" s="26" t="str">
        <f t="shared" si="11"/>
        <v/>
      </c>
      <c r="AF38" s="26" t="str">
        <f t="shared" si="12"/>
        <v/>
      </c>
      <c r="AG38" s="26" t="str">
        <f t="shared" si="13"/>
        <v/>
      </c>
    </row>
    <row r="39" spans="1:33" x14ac:dyDescent="0.25">
      <c r="A39" s="88" t="s">
        <v>56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f t="shared" si="7"/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f t="shared" si="8"/>
        <v>0</v>
      </c>
      <c r="X39" s="14">
        <v>0</v>
      </c>
      <c r="Y39" s="14">
        <v>0</v>
      </c>
      <c r="Z39" s="14">
        <f t="shared" si="9"/>
        <v>0</v>
      </c>
      <c r="AB39" s="88" t="s">
        <v>56</v>
      </c>
      <c r="AC39" s="26" t="str">
        <f t="shared" si="10"/>
        <v/>
      </c>
      <c r="AD39" s="26" t="str">
        <f t="shared" si="10"/>
        <v/>
      </c>
      <c r="AE39" s="26" t="str">
        <f t="shared" si="11"/>
        <v/>
      </c>
      <c r="AF39" s="26" t="str">
        <f t="shared" si="12"/>
        <v/>
      </c>
      <c r="AG39" s="26" t="str">
        <f t="shared" si="13"/>
        <v/>
      </c>
    </row>
    <row r="40" spans="1:33" x14ac:dyDescent="0.25">
      <c r="A40" s="88" t="s">
        <v>57</v>
      </c>
      <c r="B40" s="14">
        <v>8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f t="shared" si="7"/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f t="shared" si="8"/>
        <v>0</v>
      </c>
      <c r="X40" s="14">
        <v>0</v>
      </c>
      <c r="Y40" s="14">
        <v>0</v>
      </c>
      <c r="Z40" s="14">
        <f t="shared" si="9"/>
        <v>0</v>
      </c>
      <c r="AB40" s="88" t="s">
        <v>57</v>
      </c>
      <c r="AC40" s="26">
        <f t="shared" si="10"/>
        <v>1</v>
      </c>
      <c r="AD40" s="26">
        <f t="shared" si="10"/>
        <v>0</v>
      </c>
      <c r="AE40" s="26">
        <f t="shared" si="11"/>
        <v>0</v>
      </c>
      <c r="AF40" s="26">
        <f t="shared" si="12"/>
        <v>0</v>
      </c>
      <c r="AG40" s="26">
        <f t="shared" si="13"/>
        <v>0</v>
      </c>
    </row>
    <row r="41" spans="1:33" x14ac:dyDescent="0.25">
      <c r="A41" s="88" t="s">
        <v>86</v>
      </c>
      <c r="B41" s="14">
        <v>30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f t="shared" si="7"/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f t="shared" si="8"/>
        <v>0</v>
      </c>
      <c r="X41" s="14">
        <v>0</v>
      </c>
      <c r="Y41" s="14">
        <v>0</v>
      </c>
      <c r="Z41" s="14">
        <f t="shared" si="9"/>
        <v>0</v>
      </c>
      <c r="AB41" s="88" t="s">
        <v>86</v>
      </c>
      <c r="AC41" s="26">
        <f t="shared" si="10"/>
        <v>1</v>
      </c>
      <c r="AD41" s="26">
        <f t="shared" si="10"/>
        <v>0</v>
      </c>
      <c r="AE41" s="26">
        <f t="shared" si="11"/>
        <v>0</v>
      </c>
      <c r="AF41" s="26">
        <f t="shared" si="12"/>
        <v>0</v>
      </c>
      <c r="AG41" s="26">
        <f t="shared" si="13"/>
        <v>0</v>
      </c>
    </row>
    <row r="42" spans="1:33" x14ac:dyDescent="0.25">
      <c r="A42" s="95" t="s">
        <v>59</v>
      </c>
      <c r="B42" s="96">
        <v>3142</v>
      </c>
      <c r="C42" s="96">
        <v>383</v>
      </c>
      <c r="D42" s="96">
        <v>102</v>
      </c>
      <c r="E42" s="96">
        <v>43</v>
      </c>
      <c r="F42" s="96">
        <v>11</v>
      </c>
      <c r="G42" s="96">
        <v>10</v>
      </c>
      <c r="H42" s="96">
        <v>2</v>
      </c>
      <c r="I42" s="96">
        <v>1</v>
      </c>
      <c r="J42" s="61">
        <f t="shared" si="7"/>
        <v>169</v>
      </c>
      <c r="K42" s="96">
        <v>1</v>
      </c>
      <c r="L42" s="96">
        <v>1</v>
      </c>
      <c r="M42" s="96">
        <v>0</v>
      </c>
      <c r="N42" s="96">
        <v>0</v>
      </c>
      <c r="O42" s="96">
        <v>0</v>
      </c>
      <c r="P42" s="96">
        <v>3</v>
      </c>
      <c r="Q42" s="96">
        <v>1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61">
        <f t="shared" si="8"/>
        <v>6</v>
      </c>
      <c r="X42" s="96">
        <v>0</v>
      </c>
      <c r="Y42" s="96">
        <v>0</v>
      </c>
      <c r="Z42" s="61">
        <f t="shared" si="9"/>
        <v>0</v>
      </c>
      <c r="AB42" s="95" t="s">
        <v>59</v>
      </c>
      <c r="AC42" s="101">
        <f t="shared" si="10"/>
        <v>0.84918918918918918</v>
      </c>
      <c r="AD42" s="101">
        <f t="shared" si="10"/>
        <v>0.10351351351351351</v>
      </c>
      <c r="AE42" s="62">
        <f t="shared" si="11"/>
        <v>4.5675675675675674E-2</v>
      </c>
      <c r="AF42" s="62">
        <f t="shared" si="12"/>
        <v>1.6216216216216215E-3</v>
      </c>
      <c r="AG42" s="62">
        <f t="shared" si="13"/>
        <v>0</v>
      </c>
    </row>
  </sheetData>
  <mergeCells count="4">
    <mergeCell ref="A3:B3"/>
    <mergeCell ref="A24:B24"/>
    <mergeCell ref="AB3:AD3"/>
    <mergeCell ref="AB24:AC24"/>
  </mergeCells>
  <hyperlinks>
    <hyperlink ref="AA1" location="INDICE!A1" display="INDIC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"/>
  <sheetViews>
    <sheetView topLeftCell="W1" workbookViewId="0">
      <selection activeCell="AA1" sqref="AA1"/>
    </sheetView>
  </sheetViews>
  <sheetFormatPr baseColWidth="10" defaultRowHeight="15" x14ac:dyDescent="0.25"/>
  <cols>
    <col min="1" max="1" width="21.85546875" customWidth="1"/>
    <col min="4" max="9" width="0" hidden="1" customWidth="1"/>
    <col min="11" max="22" width="0" hidden="1" customWidth="1"/>
    <col min="24" max="25" width="0" hidden="1" customWidth="1"/>
    <col min="28" max="28" width="19.85546875" customWidth="1"/>
  </cols>
  <sheetData>
    <row r="1" spans="1:33" x14ac:dyDescent="0.25">
      <c r="Z1" s="2" t="s">
        <v>0</v>
      </c>
      <c r="AA1" s="176" t="s">
        <v>1</v>
      </c>
      <c r="AB1" s="2" t="s">
        <v>216</v>
      </c>
      <c r="AC1" t="s">
        <v>226</v>
      </c>
    </row>
    <row r="2" spans="1:33" ht="18.75" x14ac:dyDescent="0.3">
      <c r="A2" s="94" t="s">
        <v>144</v>
      </c>
    </row>
    <row r="3" spans="1:33" x14ac:dyDescent="0.25">
      <c r="A3" s="310" t="s">
        <v>116</v>
      </c>
      <c r="B3" s="310"/>
      <c r="C3" s="93"/>
      <c r="D3" s="92"/>
      <c r="AB3" s="310" t="s">
        <v>116</v>
      </c>
      <c r="AC3" s="310"/>
      <c r="AD3" s="310"/>
      <c r="AE3" s="92"/>
    </row>
    <row r="4" spans="1:33" ht="15.75" x14ac:dyDescent="0.25">
      <c r="A4" s="97" t="s">
        <v>94</v>
      </c>
      <c r="B4" s="98" t="s">
        <v>117</v>
      </c>
      <c r="C4" s="98" t="s">
        <v>118</v>
      </c>
      <c r="D4" s="98" t="s">
        <v>119</v>
      </c>
      <c r="E4" s="98" t="s">
        <v>120</v>
      </c>
      <c r="F4" s="98" t="s">
        <v>121</v>
      </c>
      <c r="G4" s="98" t="s">
        <v>122</v>
      </c>
      <c r="H4" s="98" t="s">
        <v>123</v>
      </c>
      <c r="I4" s="98" t="s">
        <v>124</v>
      </c>
      <c r="J4" s="99" t="s">
        <v>125</v>
      </c>
      <c r="K4" s="98" t="s">
        <v>126</v>
      </c>
      <c r="L4" s="98" t="s">
        <v>127</v>
      </c>
      <c r="M4" s="98" t="s">
        <v>128</v>
      </c>
      <c r="N4" s="98" t="s">
        <v>129</v>
      </c>
      <c r="O4" s="98" t="s">
        <v>130</v>
      </c>
      <c r="P4" s="98" t="s">
        <v>131</v>
      </c>
      <c r="Q4" s="98" t="s">
        <v>132</v>
      </c>
      <c r="R4" s="98" t="s">
        <v>133</v>
      </c>
      <c r="S4" s="98" t="s">
        <v>134</v>
      </c>
      <c r="T4" s="98" t="s">
        <v>135</v>
      </c>
      <c r="U4" s="98" t="s">
        <v>136</v>
      </c>
      <c r="V4" s="98" t="s">
        <v>137</v>
      </c>
      <c r="W4" s="99" t="s">
        <v>138</v>
      </c>
      <c r="X4" s="98" t="s">
        <v>139</v>
      </c>
      <c r="Y4" s="98" t="s">
        <v>140</v>
      </c>
      <c r="Z4" s="99" t="s">
        <v>141</v>
      </c>
      <c r="AB4" s="97" t="s">
        <v>94</v>
      </c>
      <c r="AC4" s="98" t="s">
        <v>117</v>
      </c>
      <c r="AD4" s="98" t="s">
        <v>118</v>
      </c>
      <c r="AE4" s="100" t="s">
        <v>125</v>
      </c>
      <c r="AF4" s="99" t="s">
        <v>138</v>
      </c>
      <c r="AG4" s="99" t="s">
        <v>141</v>
      </c>
    </row>
    <row r="5" spans="1:33" x14ac:dyDescent="0.25">
      <c r="A5" s="88" t="s">
        <v>49</v>
      </c>
      <c r="B5" s="14">
        <v>94.26</v>
      </c>
      <c r="C5" s="14">
        <v>45.37</v>
      </c>
      <c r="D5" s="14">
        <v>0</v>
      </c>
      <c r="E5" s="14">
        <v>17.37</v>
      </c>
      <c r="F5" s="14">
        <v>20.45</v>
      </c>
      <c r="G5" s="14">
        <v>28.73</v>
      </c>
      <c r="H5" s="14">
        <v>0</v>
      </c>
      <c r="I5" s="14">
        <v>0</v>
      </c>
      <c r="J5" s="14">
        <f>SUM(D5:I5)</f>
        <v>66.55</v>
      </c>
      <c r="K5" s="14">
        <v>0</v>
      </c>
      <c r="L5" s="14">
        <v>98.89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f>SUM(K5:V5)</f>
        <v>98.89</v>
      </c>
      <c r="X5" s="14">
        <v>0</v>
      </c>
      <c r="Y5" s="14">
        <v>776.28</v>
      </c>
      <c r="Z5" s="14">
        <f>SUM(X5:Y5)</f>
        <v>776.28</v>
      </c>
      <c r="AB5" s="88" t="s">
        <v>49</v>
      </c>
      <c r="AC5" s="26">
        <f>IFERROR(B5/SUM($B5+$C5+$J5+$W5+$Z5),"")</f>
        <v>8.7168816756831746E-2</v>
      </c>
      <c r="AD5" s="26">
        <f>IFERROR(C5/SUM($B5+$C5+$J5+$W5+$Z5),"")</f>
        <v>4.1956813242705879E-2</v>
      </c>
      <c r="AE5" s="26">
        <f>IFERROR(J5/SUM($B5+$C5+$J5+$W5+$Z5),"")</f>
        <v>6.1543441069034081E-2</v>
      </c>
      <c r="AF5" s="26">
        <f>IFERROR(W5/SUM($B5+$C5+$J5+$W5+$Z5),"")</f>
        <v>9.1450501687705188E-2</v>
      </c>
      <c r="AG5" s="26">
        <f>IFERROR(Z5/SUM($B5+$C5+$J5+$W5+$Z5),"")</f>
        <v>0.71788042724372314</v>
      </c>
    </row>
    <row r="6" spans="1:33" x14ac:dyDescent="0.25">
      <c r="A6" s="88" t="s">
        <v>50</v>
      </c>
      <c r="B6" s="14">
        <v>3.06</v>
      </c>
      <c r="C6" s="14">
        <v>7.24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f t="shared" ref="J6:J21" si="0">SUM(D6:I6)</f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f t="shared" ref="W6:W21" si="1">SUM(K6:V6)</f>
        <v>0</v>
      </c>
      <c r="X6" s="14">
        <v>0</v>
      </c>
      <c r="Y6" s="14">
        <v>0</v>
      </c>
      <c r="Z6" s="14">
        <f t="shared" ref="Z6:Z21" si="2">SUM(X6:Y6)</f>
        <v>0</v>
      </c>
      <c r="AB6" s="88" t="s">
        <v>50</v>
      </c>
      <c r="AC6" s="26">
        <f t="shared" ref="AC6:AD21" si="3">IFERROR(B6/SUM($B6+$C6+$J6+$W6+$Z6),"")</f>
        <v>0.29708737864077667</v>
      </c>
      <c r="AD6" s="26">
        <f t="shared" si="3"/>
        <v>0.70291262135922328</v>
      </c>
      <c r="AE6" s="26">
        <f t="shared" ref="AE6:AE21" si="4">IFERROR(J6/SUM($B6+$C6+$J6+$W6+$Z6),"")</f>
        <v>0</v>
      </c>
      <c r="AF6" s="26">
        <f t="shared" ref="AF6:AF21" si="5">IFERROR(W6/SUM($B6+$C6+$J6+$W6+$Z6),"")</f>
        <v>0</v>
      </c>
      <c r="AG6" s="26">
        <f t="shared" ref="AG6:AG21" si="6">IFERROR(Z6/SUM($B6+$C6+$J6+$W6+$Z6),"")</f>
        <v>0</v>
      </c>
    </row>
    <row r="7" spans="1:33" x14ac:dyDescent="0.25">
      <c r="A7" s="88" t="s">
        <v>63</v>
      </c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f t="shared" si="0"/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f t="shared" si="1"/>
        <v>0</v>
      </c>
      <c r="X7" s="14">
        <v>0</v>
      </c>
      <c r="Y7" s="14">
        <v>0</v>
      </c>
      <c r="Z7" s="14">
        <f t="shared" si="2"/>
        <v>0</v>
      </c>
      <c r="AB7" s="88" t="s">
        <v>63</v>
      </c>
      <c r="AC7" s="26" t="str">
        <f t="shared" si="3"/>
        <v/>
      </c>
      <c r="AD7" s="26" t="str">
        <f t="shared" si="3"/>
        <v/>
      </c>
      <c r="AE7" s="26" t="str">
        <f t="shared" si="4"/>
        <v/>
      </c>
      <c r="AF7" s="26" t="str">
        <f t="shared" si="5"/>
        <v/>
      </c>
      <c r="AG7" s="26" t="str">
        <f t="shared" si="6"/>
        <v/>
      </c>
    </row>
    <row r="8" spans="1:33" x14ac:dyDescent="0.25">
      <c r="A8" s="88" t="s">
        <v>60</v>
      </c>
      <c r="B8" s="14">
        <v>3635.7250000000099</v>
      </c>
      <c r="C8" s="14">
        <v>833.84500000000003</v>
      </c>
      <c r="D8" s="14">
        <v>243.43</v>
      </c>
      <c r="E8" s="14">
        <v>168.56</v>
      </c>
      <c r="F8" s="14">
        <v>89.61</v>
      </c>
      <c r="G8" s="14">
        <v>109.99</v>
      </c>
      <c r="H8" s="14">
        <v>32.75</v>
      </c>
      <c r="I8" s="14">
        <v>39.520000000000003</v>
      </c>
      <c r="J8" s="14">
        <f t="shared" si="0"/>
        <v>683.86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f t="shared" si="1"/>
        <v>0</v>
      </c>
      <c r="X8" s="14">
        <v>0</v>
      </c>
      <c r="Y8" s="14">
        <v>0</v>
      </c>
      <c r="Z8" s="14">
        <f t="shared" si="2"/>
        <v>0</v>
      </c>
      <c r="AB8" s="88" t="s">
        <v>60</v>
      </c>
      <c r="AC8" s="26">
        <f t="shared" si="3"/>
        <v>0.70549614528576177</v>
      </c>
      <c r="AD8" s="26">
        <f t="shared" si="3"/>
        <v>0.16180388595556716</v>
      </c>
      <c r="AE8" s="26">
        <f t="shared" si="4"/>
        <v>0.13269996875867118</v>
      </c>
      <c r="AF8" s="26">
        <f t="shared" si="5"/>
        <v>0</v>
      </c>
      <c r="AG8" s="26">
        <f t="shared" si="6"/>
        <v>0</v>
      </c>
    </row>
    <row r="9" spans="1:33" x14ac:dyDescent="0.25">
      <c r="A9" s="88" t="s">
        <v>53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f t="shared" si="0"/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f t="shared" si="1"/>
        <v>0</v>
      </c>
      <c r="X9" s="14">
        <v>0</v>
      </c>
      <c r="Y9" s="14">
        <v>0</v>
      </c>
      <c r="Z9" s="14">
        <f t="shared" si="2"/>
        <v>0</v>
      </c>
      <c r="AB9" s="88" t="s">
        <v>53</v>
      </c>
      <c r="AC9" s="26" t="str">
        <f t="shared" si="3"/>
        <v/>
      </c>
      <c r="AD9" s="26" t="str">
        <f t="shared" si="3"/>
        <v/>
      </c>
      <c r="AE9" s="26" t="str">
        <f t="shared" si="4"/>
        <v/>
      </c>
      <c r="AF9" s="26" t="str">
        <f t="shared" si="5"/>
        <v/>
      </c>
      <c r="AG9" s="26" t="str">
        <f t="shared" si="6"/>
        <v/>
      </c>
    </row>
    <row r="10" spans="1:33" x14ac:dyDescent="0.25">
      <c r="A10" s="88" t="s">
        <v>52</v>
      </c>
      <c r="B10" s="14">
        <v>3.83</v>
      </c>
      <c r="C10" s="14">
        <v>5.73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f t="shared" si="0"/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f t="shared" si="1"/>
        <v>0</v>
      </c>
      <c r="X10" s="14">
        <v>0</v>
      </c>
      <c r="Y10" s="14">
        <v>0</v>
      </c>
      <c r="Z10" s="14">
        <f t="shared" si="2"/>
        <v>0</v>
      </c>
      <c r="AB10" s="88" t="s">
        <v>52</v>
      </c>
      <c r="AC10" s="26">
        <f t="shared" si="3"/>
        <v>0.40062761506276151</v>
      </c>
      <c r="AD10" s="26">
        <f t="shared" si="3"/>
        <v>0.59937238493723854</v>
      </c>
      <c r="AE10" s="26">
        <f t="shared" si="4"/>
        <v>0</v>
      </c>
      <c r="AF10" s="26">
        <f t="shared" si="5"/>
        <v>0</v>
      </c>
      <c r="AG10" s="26">
        <f t="shared" si="6"/>
        <v>0</v>
      </c>
    </row>
    <row r="11" spans="1:33" x14ac:dyDescent="0.25">
      <c r="A11" s="88" t="s">
        <v>65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f t="shared" si="0"/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f t="shared" si="1"/>
        <v>0</v>
      </c>
      <c r="X11" s="14">
        <v>0</v>
      </c>
      <c r="Y11" s="14">
        <v>0</v>
      </c>
      <c r="Z11" s="14">
        <f t="shared" si="2"/>
        <v>0</v>
      </c>
      <c r="AB11" s="88" t="s">
        <v>65</v>
      </c>
      <c r="AC11" s="26" t="str">
        <f t="shared" si="3"/>
        <v/>
      </c>
      <c r="AD11" s="26" t="str">
        <f t="shared" si="3"/>
        <v/>
      </c>
      <c r="AE11" s="26" t="str">
        <f t="shared" si="4"/>
        <v/>
      </c>
      <c r="AF11" s="26" t="str">
        <f t="shared" si="5"/>
        <v/>
      </c>
      <c r="AG11" s="26" t="str">
        <f t="shared" si="6"/>
        <v/>
      </c>
    </row>
    <row r="12" spans="1:33" x14ac:dyDescent="0.25">
      <c r="A12" s="88" t="s">
        <v>51</v>
      </c>
      <c r="B12" s="14">
        <v>2516.69333333333</v>
      </c>
      <c r="C12" s="14">
        <v>704.66499999999996</v>
      </c>
      <c r="D12" s="14">
        <v>375.08</v>
      </c>
      <c r="E12" s="14">
        <v>272.57</v>
      </c>
      <c r="F12" s="14">
        <v>113.08</v>
      </c>
      <c r="G12" s="14">
        <v>84.84</v>
      </c>
      <c r="H12" s="14">
        <v>30.18</v>
      </c>
      <c r="I12" s="14">
        <v>0</v>
      </c>
      <c r="J12" s="14">
        <f t="shared" si="0"/>
        <v>875.75</v>
      </c>
      <c r="K12" s="14">
        <v>42.82</v>
      </c>
      <c r="L12" s="14">
        <v>0</v>
      </c>
      <c r="M12" s="14">
        <v>52.93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f t="shared" si="1"/>
        <v>95.75</v>
      </c>
      <c r="X12" s="14">
        <v>0</v>
      </c>
      <c r="Y12" s="14">
        <v>0</v>
      </c>
      <c r="Z12" s="14">
        <f t="shared" si="2"/>
        <v>0</v>
      </c>
      <c r="AB12" s="88" t="s">
        <v>51</v>
      </c>
      <c r="AC12" s="26">
        <f t="shared" si="3"/>
        <v>0.60023333326708284</v>
      </c>
      <c r="AD12" s="26">
        <f t="shared" si="3"/>
        <v>0.16806315500762223</v>
      </c>
      <c r="AE12" s="26">
        <f t="shared" si="4"/>
        <v>0.20886706165046534</v>
      </c>
      <c r="AF12" s="26">
        <f t="shared" si="5"/>
        <v>2.283645007482964E-2</v>
      </c>
      <c r="AG12" s="26">
        <f t="shared" si="6"/>
        <v>0</v>
      </c>
    </row>
    <row r="13" spans="1:33" x14ac:dyDescent="0.25">
      <c r="A13" s="88" t="s">
        <v>54</v>
      </c>
      <c r="B13" s="14">
        <v>3.73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f t="shared" si="0"/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f t="shared" si="1"/>
        <v>0</v>
      </c>
      <c r="X13" s="14">
        <v>0</v>
      </c>
      <c r="Y13" s="14">
        <v>0</v>
      </c>
      <c r="Z13" s="14">
        <f t="shared" si="2"/>
        <v>0</v>
      </c>
      <c r="AB13" s="88" t="s">
        <v>54</v>
      </c>
      <c r="AC13" s="26">
        <f t="shared" si="3"/>
        <v>1</v>
      </c>
      <c r="AD13" s="26">
        <f t="shared" si="3"/>
        <v>0</v>
      </c>
      <c r="AE13" s="26">
        <f t="shared" si="4"/>
        <v>0</v>
      </c>
      <c r="AF13" s="26">
        <f t="shared" si="5"/>
        <v>0</v>
      </c>
      <c r="AG13" s="26">
        <f t="shared" si="6"/>
        <v>0</v>
      </c>
    </row>
    <row r="14" spans="1:33" x14ac:dyDescent="0.25">
      <c r="A14" s="88" t="s">
        <v>67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f t="shared" si="0"/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f t="shared" si="1"/>
        <v>0</v>
      </c>
      <c r="X14" s="14">
        <v>0</v>
      </c>
      <c r="Y14" s="14">
        <v>0</v>
      </c>
      <c r="Z14" s="14">
        <f t="shared" si="2"/>
        <v>0</v>
      </c>
      <c r="AB14" s="88" t="s">
        <v>67</v>
      </c>
      <c r="AC14" s="26" t="str">
        <f t="shared" si="3"/>
        <v/>
      </c>
      <c r="AD14" s="26" t="str">
        <f t="shared" si="3"/>
        <v/>
      </c>
      <c r="AE14" s="26" t="str">
        <f t="shared" si="4"/>
        <v/>
      </c>
      <c r="AF14" s="26" t="str">
        <f t="shared" si="5"/>
        <v/>
      </c>
      <c r="AG14" s="26" t="str">
        <f t="shared" si="6"/>
        <v/>
      </c>
    </row>
    <row r="15" spans="1:33" x14ac:dyDescent="0.25">
      <c r="A15" s="88" t="s">
        <v>75</v>
      </c>
      <c r="B15" s="14">
        <v>1099.0439166666699</v>
      </c>
      <c r="C15" s="14">
        <v>445.1</v>
      </c>
      <c r="D15" s="14">
        <v>254.84</v>
      </c>
      <c r="E15" s="14">
        <v>68.03</v>
      </c>
      <c r="F15" s="14">
        <v>110.53</v>
      </c>
      <c r="G15" s="14">
        <v>80.66</v>
      </c>
      <c r="H15" s="14">
        <v>62.74</v>
      </c>
      <c r="I15" s="14">
        <v>0</v>
      </c>
      <c r="J15" s="14">
        <f t="shared" si="0"/>
        <v>576.79999999999995</v>
      </c>
      <c r="K15" s="14">
        <v>40.68</v>
      </c>
      <c r="L15" s="14">
        <v>0</v>
      </c>
      <c r="M15" s="14">
        <v>0</v>
      </c>
      <c r="N15" s="14">
        <v>0</v>
      </c>
      <c r="O15" s="14">
        <v>0</v>
      </c>
      <c r="P15" s="14">
        <v>69.239999999999995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f t="shared" si="1"/>
        <v>109.91999999999999</v>
      </c>
      <c r="X15" s="14">
        <v>0</v>
      </c>
      <c r="Y15" s="14">
        <v>0</v>
      </c>
      <c r="Z15" s="14">
        <f t="shared" si="2"/>
        <v>0</v>
      </c>
      <c r="AB15" s="88" t="s">
        <v>75</v>
      </c>
      <c r="AC15" s="26">
        <f t="shared" si="3"/>
        <v>0.49265394830037335</v>
      </c>
      <c r="AD15" s="26">
        <f t="shared" si="3"/>
        <v>0.19951911753768609</v>
      </c>
      <c r="AE15" s="26">
        <f t="shared" si="4"/>
        <v>0.25855454278979401</v>
      </c>
      <c r="AF15" s="26">
        <f t="shared" si="5"/>
        <v>4.9272391372146597E-2</v>
      </c>
      <c r="AG15" s="26">
        <f t="shared" si="6"/>
        <v>0</v>
      </c>
    </row>
    <row r="16" spans="1:33" x14ac:dyDescent="0.25">
      <c r="A16" s="88" t="s">
        <v>55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f t="shared" si="0"/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f t="shared" si="1"/>
        <v>0</v>
      </c>
      <c r="X16" s="14">
        <v>0</v>
      </c>
      <c r="Y16" s="14">
        <v>0</v>
      </c>
      <c r="Z16" s="14">
        <f t="shared" si="2"/>
        <v>0</v>
      </c>
      <c r="AB16" s="88" t="s">
        <v>55</v>
      </c>
      <c r="AC16" s="26" t="str">
        <f t="shared" si="3"/>
        <v/>
      </c>
      <c r="AD16" s="26" t="str">
        <f t="shared" si="3"/>
        <v/>
      </c>
      <c r="AE16" s="26" t="str">
        <f t="shared" si="4"/>
        <v/>
      </c>
      <c r="AF16" s="26" t="str">
        <f t="shared" si="5"/>
        <v/>
      </c>
      <c r="AG16" s="26" t="str">
        <f t="shared" si="6"/>
        <v/>
      </c>
    </row>
    <row r="17" spans="1:33" x14ac:dyDescent="0.25">
      <c r="A17" s="88" t="s">
        <v>80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f t="shared" si="0"/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f t="shared" si="1"/>
        <v>0</v>
      </c>
      <c r="X17" s="14">
        <v>0</v>
      </c>
      <c r="Y17" s="14">
        <v>0</v>
      </c>
      <c r="Z17" s="14">
        <f t="shared" si="2"/>
        <v>0</v>
      </c>
      <c r="AB17" s="88" t="s">
        <v>80</v>
      </c>
      <c r="AC17" s="26" t="str">
        <f t="shared" si="3"/>
        <v/>
      </c>
      <c r="AD17" s="26" t="str">
        <f t="shared" si="3"/>
        <v/>
      </c>
      <c r="AE17" s="26" t="str">
        <f t="shared" si="4"/>
        <v/>
      </c>
      <c r="AF17" s="26" t="str">
        <f t="shared" si="5"/>
        <v/>
      </c>
      <c r="AG17" s="26" t="str">
        <f t="shared" si="6"/>
        <v/>
      </c>
    </row>
    <row r="18" spans="1:33" x14ac:dyDescent="0.25">
      <c r="A18" s="88" t="s">
        <v>56</v>
      </c>
      <c r="B18" s="14">
        <v>251.16499999999999</v>
      </c>
      <c r="C18" s="14">
        <v>119.11</v>
      </c>
      <c r="D18" s="14">
        <v>107.02</v>
      </c>
      <c r="E18" s="14">
        <v>54.58</v>
      </c>
      <c r="F18" s="14">
        <v>107.39</v>
      </c>
      <c r="G18" s="14">
        <v>27.5</v>
      </c>
      <c r="H18" s="14">
        <v>34.380000000000003</v>
      </c>
      <c r="I18" s="14">
        <v>38.67</v>
      </c>
      <c r="J18" s="14">
        <f t="shared" si="0"/>
        <v>369.54</v>
      </c>
      <c r="K18" s="14">
        <v>0</v>
      </c>
      <c r="L18" s="14">
        <v>48.27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f t="shared" si="1"/>
        <v>48.27</v>
      </c>
      <c r="X18" s="14">
        <v>0</v>
      </c>
      <c r="Y18" s="14">
        <v>0</v>
      </c>
      <c r="Z18" s="14">
        <f t="shared" si="2"/>
        <v>0</v>
      </c>
      <c r="AB18" s="88" t="s">
        <v>56</v>
      </c>
      <c r="AC18" s="26">
        <f t="shared" si="3"/>
        <v>0.31870293179035253</v>
      </c>
      <c r="AD18" s="26">
        <f t="shared" si="3"/>
        <v>0.15113851932215433</v>
      </c>
      <c r="AE18" s="26">
        <f t="shared" si="4"/>
        <v>0.46890881059784162</v>
      </c>
      <c r="AF18" s="26">
        <f t="shared" si="5"/>
        <v>6.1249738289651495E-2</v>
      </c>
      <c r="AG18" s="26">
        <f t="shared" si="6"/>
        <v>0</v>
      </c>
    </row>
    <row r="19" spans="1:33" x14ac:dyDescent="0.25">
      <c r="A19" s="88" t="s">
        <v>57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f t="shared" si="0"/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f t="shared" si="1"/>
        <v>0</v>
      </c>
      <c r="X19" s="14">
        <v>0</v>
      </c>
      <c r="Y19" s="14">
        <v>0</v>
      </c>
      <c r="Z19" s="14">
        <f t="shared" si="2"/>
        <v>0</v>
      </c>
      <c r="AB19" s="88" t="s">
        <v>57</v>
      </c>
      <c r="AC19" s="26" t="str">
        <f t="shared" si="3"/>
        <v/>
      </c>
      <c r="AD19" s="26" t="str">
        <f t="shared" si="3"/>
        <v/>
      </c>
      <c r="AE19" s="26" t="str">
        <f t="shared" si="4"/>
        <v/>
      </c>
      <c r="AF19" s="26" t="str">
        <f t="shared" si="5"/>
        <v/>
      </c>
      <c r="AG19" s="26" t="str">
        <f t="shared" si="6"/>
        <v/>
      </c>
    </row>
    <row r="20" spans="1:33" x14ac:dyDescent="0.25">
      <c r="A20" s="88" t="s">
        <v>86</v>
      </c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f t="shared" si="0"/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f t="shared" si="1"/>
        <v>0</v>
      </c>
      <c r="X20" s="14">
        <v>0</v>
      </c>
      <c r="Y20" s="14">
        <v>0</v>
      </c>
      <c r="Z20" s="14">
        <f t="shared" si="2"/>
        <v>0</v>
      </c>
      <c r="AB20" s="88" t="s">
        <v>86</v>
      </c>
      <c r="AC20" s="26" t="str">
        <f t="shared" si="3"/>
        <v/>
      </c>
      <c r="AD20" s="26" t="str">
        <f t="shared" si="3"/>
        <v/>
      </c>
      <c r="AE20" s="26" t="str">
        <f t="shared" si="4"/>
        <v/>
      </c>
      <c r="AF20" s="26" t="str">
        <f t="shared" si="5"/>
        <v/>
      </c>
      <c r="AG20" s="26" t="str">
        <f t="shared" si="6"/>
        <v/>
      </c>
    </row>
    <row r="21" spans="1:33" x14ac:dyDescent="0.25">
      <c r="A21" s="95" t="s">
        <v>59</v>
      </c>
      <c r="B21" s="96">
        <v>7607.5072500000597</v>
      </c>
      <c r="C21" s="96">
        <v>2161.06</v>
      </c>
      <c r="D21" s="96">
        <v>980.37</v>
      </c>
      <c r="E21" s="96">
        <v>581.11</v>
      </c>
      <c r="F21" s="96">
        <v>441.06</v>
      </c>
      <c r="G21" s="96">
        <v>331.72</v>
      </c>
      <c r="H21" s="96">
        <v>160.05000000000001</v>
      </c>
      <c r="I21" s="96">
        <v>78.19</v>
      </c>
      <c r="J21" s="61">
        <f t="shared" si="0"/>
        <v>2572.5000000000005</v>
      </c>
      <c r="K21" s="96">
        <v>83.5</v>
      </c>
      <c r="L21" s="96">
        <v>147.16</v>
      </c>
      <c r="M21" s="96">
        <v>52.93</v>
      </c>
      <c r="N21" s="96">
        <v>0</v>
      </c>
      <c r="O21" s="96">
        <v>0</v>
      </c>
      <c r="P21" s="96">
        <v>69.239999999999995</v>
      </c>
      <c r="Q21" s="96">
        <v>0</v>
      </c>
      <c r="R21" s="96">
        <v>0</v>
      </c>
      <c r="S21" s="96">
        <v>0</v>
      </c>
      <c r="T21" s="96">
        <v>0</v>
      </c>
      <c r="U21" s="96">
        <v>0</v>
      </c>
      <c r="V21" s="96">
        <v>0</v>
      </c>
      <c r="W21" s="61">
        <f t="shared" si="1"/>
        <v>352.83</v>
      </c>
      <c r="X21" s="96">
        <v>0</v>
      </c>
      <c r="Y21" s="96">
        <v>776.28</v>
      </c>
      <c r="Z21" s="61">
        <f t="shared" si="2"/>
        <v>776.28</v>
      </c>
      <c r="AB21" s="95" t="s">
        <v>59</v>
      </c>
      <c r="AC21" s="101">
        <f t="shared" si="3"/>
        <v>0.56476667743923159</v>
      </c>
      <c r="AD21" s="101">
        <f t="shared" si="3"/>
        <v>0.16043292971515949</v>
      </c>
      <c r="AE21" s="62">
        <f t="shared" si="4"/>
        <v>0.19097744240893258</v>
      </c>
      <c r="AF21" s="62">
        <f t="shared" si="5"/>
        <v>2.619341924398199E-2</v>
      </c>
      <c r="AG21" s="62">
        <f t="shared" si="6"/>
        <v>5.7629531192694324E-2</v>
      </c>
    </row>
    <row r="24" spans="1:33" x14ac:dyDescent="0.25">
      <c r="A24" s="310" t="s">
        <v>147</v>
      </c>
      <c r="B24" s="310"/>
      <c r="C24" s="93"/>
      <c r="D24" s="92"/>
      <c r="AB24" s="310" t="s">
        <v>147</v>
      </c>
      <c r="AC24" s="310"/>
    </row>
    <row r="25" spans="1:33" ht="15.75" x14ac:dyDescent="0.25">
      <c r="A25" s="97" t="s">
        <v>94</v>
      </c>
      <c r="B25" s="98" t="s">
        <v>117</v>
      </c>
      <c r="C25" s="98" t="s">
        <v>118</v>
      </c>
      <c r="D25" s="98" t="s">
        <v>119</v>
      </c>
      <c r="E25" s="98" t="s">
        <v>120</v>
      </c>
      <c r="F25" s="98" t="s">
        <v>121</v>
      </c>
      <c r="G25" s="98" t="s">
        <v>122</v>
      </c>
      <c r="H25" s="98" t="s">
        <v>123</v>
      </c>
      <c r="I25" s="98" t="s">
        <v>124</v>
      </c>
      <c r="J25" s="99" t="s">
        <v>125</v>
      </c>
      <c r="K25" s="98" t="s">
        <v>126</v>
      </c>
      <c r="L25" s="98" t="s">
        <v>127</v>
      </c>
      <c r="M25" s="98" t="s">
        <v>128</v>
      </c>
      <c r="N25" s="98" t="s">
        <v>129</v>
      </c>
      <c r="O25" s="98" t="s">
        <v>130</v>
      </c>
      <c r="P25" s="98" t="s">
        <v>131</v>
      </c>
      <c r="Q25" s="98" t="s">
        <v>132</v>
      </c>
      <c r="R25" s="98" t="s">
        <v>133</v>
      </c>
      <c r="S25" s="98" t="s">
        <v>134</v>
      </c>
      <c r="T25" s="98" t="s">
        <v>135</v>
      </c>
      <c r="U25" s="98" t="s">
        <v>136</v>
      </c>
      <c r="V25" s="98" t="s">
        <v>137</v>
      </c>
      <c r="W25" s="99" t="s">
        <v>138</v>
      </c>
      <c r="X25" s="98" t="s">
        <v>139</v>
      </c>
      <c r="Y25" s="98" t="s">
        <v>140</v>
      </c>
      <c r="Z25" s="99" t="s">
        <v>141</v>
      </c>
      <c r="AB25" s="97" t="s">
        <v>94</v>
      </c>
      <c r="AC25" s="98" t="s">
        <v>117</v>
      </c>
      <c r="AD25" s="98" t="s">
        <v>118</v>
      </c>
      <c r="AE25" s="100" t="s">
        <v>125</v>
      </c>
      <c r="AF25" s="99" t="s">
        <v>138</v>
      </c>
      <c r="AG25" s="99" t="s">
        <v>141</v>
      </c>
    </row>
    <row r="26" spans="1:33" x14ac:dyDescent="0.25">
      <c r="A26" s="88" t="s">
        <v>49</v>
      </c>
      <c r="B26" s="14">
        <v>122</v>
      </c>
      <c r="C26" s="14">
        <v>6</v>
      </c>
      <c r="D26" s="14">
        <v>0</v>
      </c>
      <c r="E26" s="14">
        <v>1</v>
      </c>
      <c r="F26" s="14">
        <v>1</v>
      </c>
      <c r="G26" s="14">
        <v>1</v>
      </c>
      <c r="H26" s="14">
        <v>0</v>
      </c>
      <c r="I26" s="14">
        <v>0</v>
      </c>
      <c r="J26" s="14">
        <f>SUM(D26:I26)</f>
        <v>3</v>
      </c>
      <c r="K26" s="14">
        <v>0</v>
      </c>
      <c r="L26" s="14">
        <v>2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f>SUM(K26:V26)</f>
        <v>2</v>
      </c>
      <c r="X26" s="14">
        <v>0</v>
      </c>
      <c r="Y26" s="14">
        <v>2</v>
      </c>
      <c r="Z26" s="14">
        <f>SUM(X26:Y26)</f>
        <v>2</v>
      </c>
      <c r="AB26" s="88" t="s">
        <v>49</v>
      </c>
      <c r="AC26" s="26">
        <f>IFERROR(B26/SUM($B26+$C26+$J26+$W26+$Z26),"")</f>
        <v>0.90370370370370368</v>
      </c>
      <c r="AD26" s="26">
        <f>IFERROR(C26/SUM($B26+$C26+$J26+$W26+$Z26),"")</f>
        <v>4.4444444444444446E-2</v>
      </c>
      <c r="AE26" s="26">
        <f>IFERROR(J26/SUM($B26+$C26+$J26+$W26+$Z26),"")</f>
        <v>2.2222222222222223E-2</v>
      </c>
      <c r="AF26" s="26">
        <f>IFERROR(W26/SUM($B26+$C26+$J26+$W26+$Z26),"")</f>
        <v>1.4814814814814815E-2</v>
      </c>
      <c r="AG26" s="26">
        <f>IFERROR(Z26/SUM($B26+$C26+$J26+$W26+$Z26),"")</f>
        <v>1.4814814814814815E-2</v>
      </c>
    </row>
    <row r="27" spans="1:33" x14ac:dyDescent="0.25">
      <c r="A27" s="88" t="s">
        <v>50</v>
      </c>
      <c r="B27" s="14">
        <v>3</v>
      </c>
      <c r="C27" s="14">
        <v>1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f t="shared" ref="J27:J42" si="7">SUM(D27:I27)</f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f t="shared" ref="W27:W42" si="8">SUM(K27:V27)</f>
        <v>0</v>
      </c>
      <c r="X27" s="14">
        <v>0</v>
      </c>
      <c r="Y27" s="14">
        <v>0</v>
      </c>
      <c r="Z27" s="14">
        <f t="shared" ref="Z27:Z42" si="9">SUM(X27:Y27)</f>
        <v>0</v>
      </c>
      <c r="AB27" s="88" t="s">
        <v>50</v>
      </c>
      <c r="AC27" s="26">
        <f t="shared" ref="AC27:AD42" si="10">IFERROR(B27/SUM($B27+$C27+$J27+$W27+$Z27),"")</f>
        <v>0.75</v>
      </c>
      <c r="AD27" s="26">
        <f t="shared" si="10"/>
        <v>0.25</v>
      </c>
      <c r="AE27" s="26">
        <f t="shared" ref="AE27:AE42" si="11">IFERROR(J27/SUM($B27+$C27+$J27+$W27+$Z27),"")</f>
        <v>0</v>
      </c>
      <c r="AF27" s="26">
        <f t="shared" ref="AF27:AF42" si="12">IFERROR(W27/SUM($B27+$C27+$J27+$W27+$Z27),"")</f>
        <v>0</v>
      </c>
      <c r="AG27" s="26">
        <f t="shared" ref="AG27:AG42" si="13">IFERROR(Z27/SUM($B27+$C27+$J27+$W27+$Z27),"")</f>
        <v>0</v>
      </c>
    </row>
    <row r="28" spans="1:33" x14ac:dyDescent="0.25">
      <c r="A28" s="88" t="s">
        <v>63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f t="shared" si="7"/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f t="shared" si="8"/>
        <v>0</v>
      </c>
      <c r="X28" s="14">
        <v>0</v>
      </c>
      <c r="Y28" s="14">
        <v>0</v>
      </c>
      <c r="Z28" s="14">
        <f t="shared" si="9"/>
        <v>0</v>
      </c>
      <c r="AB28" s="88" t="s">
        <v>63</v>
      </c>
      <c r="AC28" s="26" t="str">
        <f t="shared" si="10"/>
        <v/>
      </c>
      <c r="AD28" s="26" t="str">
        <f t="shared" si="10"/>
        <v/>
      </c>
      <c r="AE28" s="26" t="str">
        <f t="shared" si="11"/>
        <v/>
      </c>
      <c r="AF28" s="26" t="str">
        <f t="shared" si="12"/>
        <v/>
      </c>
      <c r="AG28" s="26" t="str">
        <f t="shared" si="13"/>
        <v/>
      </c>
    </row>
    <row r="29" spans="1:33" x14ac:dyDescent="0.25">
      <c r="A29" s="88" t="s">
        <v>60</v>
      </c>
      <c r="B29" s="14">
        <v>3438</v>
      </c>
      <c r="C29" s="14">
        <v>124</v>
      </c>
      <c r="D29" s="14">
        <v>21</v>
      </c>
      <c r="E29" s="14">
        <v>10</v>
      </c>
      <c r="F29" s="14">
        <v>4</v>
      </c>
      <c r="G29" s="14">
        <v>4</v>
      </c>
      <c r="H29" s="14">
        <v>1</v>
      </c>
      <c r="I29" s="14">
        <v>1</v>
      </c>
      <c r="J29" s="14">
        <f t="shared" si="7"/>
        <v>41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f t="shared" si="8"/>
        <v>0</v>
      </c>
      <c r="X29" s="14">
        <v>0</v>
      </c>
      <c r="Y29" s="14">
        <v>0</v>
      </c>
      <c r="Z29" s="14">
        <f t="shared" si="9"/>
        <v>0</v>
      </c>
      <c r="AB29" s="88" t="s">
        <v>60</v>
      </c>
      <c r="AC29" s="26">
        <f t="shared" si="10"/>
        <v>0.95420482930890926</v>
      </c>
      <c r="AD29" s="26">
        <f t="shared" si="10"/>
        <v>3.4415764640577294E-2</v>
      </c>
      <c r="AE29" s="26">
        <f t="shared" si="11"/>
        <v>1.1379406050513461E-2</v>
      </c>
      <c r="AF29" s="26">
        <f t="shared" si="12"/>
        <v>0</v>
      </c>
      <c r="AG29" s="26">
        <f t="shared" si="13"/>
        <v>0</v>
      </c>
    </row>
    <row r="30" spans="1:33" x14ac:dyDescent="0.25">
      <c r="A30" s="88" t="s">
        <v>53</v>
      </c>
      <c r="B30" s="14">
        <v>0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f t="shared" si="7"/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f t="shared" si="8"/>
        <v>0</v>
      </c>
      <c r="X30" s="14">
        <v>0</v>
      </c>
      <c r="Y30" s="14">
        <v>0</v>
      </c>
      <c r="Z30" s="14">
        <f t="shared" si="9"/>
        <v>0</v>
      </c>
      <c r="AB30" s="88" t="s">
        <v>53</v>
      </c>
      <c r="AC30" s="26" t="str">
        <f t="shared" si="10"/>
        <v/>
      </c>
      <c r="AD30" s="26" t="str">
        <f t="shared" si="10"/>
        <v/>
      </c>
      <c r="AE30" s="26" t="str">
        <f t="shared" si="11"/>
        <v/>
      </c>
      <c r="AF30" s="26" t="str">
        <f t="shared" si="12"/>
        <v/>
      </c>
      <c r="AG30" s="26" t="str">
        <f t="shared" si="13"/>
        <v/>
      </c>
    </row>
    <row r="31" spans="1:33" x14ac:dyDescent="0.25">
      <c r="A31" s="88" t="s">
        <v>52</v>
      </c>
      <c r="B31" s="14">
        <v>3</v>
      </c>
      <c r="C31" s="14">
        <v>1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f t="shared" si="7"/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f t="shared" si="8"/>
        <v>0</v>
      </c>
      <c r="X31" s="14">
        <v>0</v>
      </c>
      <c r="Y31" s="14">
        <v>0</v>
      </c>
      <c r="Z31" s="14">
        <f t="shared" si="9"/>
        <v>0</v>
      </c>
      <c r="AB31" s="88" t="s">
        <v>52</v>
      </c>
      <c r="AC31" s="26">
        <f t="shared" si="10"/>
        <v>0.75</v>
      </c>
      <c r="AD31" s="26">
        <f t="shared" si="10"/>
        <v>0.25</v>
      </c>
      <c r="AE31" s="26">
        <f t="shared" si="11"/>
        <v>0</v>
      </c>
      <c r="AF31" s="26">
        <f t="shared" si="12"/>
        <v>0</v>
      </c>
      <c r="AG31" s="26">
        <f t="shared" si="13"/>
        <v>0</v>
      </c>
    </row>
    <row r="32" spans="1:33" x14ac:dyDescent="0.25">
      <c r="A32" s="88" t="s">
        <v>65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f t="shared" si="7"/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f t="shared" si="8"/>
        <v>0</v>
      </c>
      <c r="X32" s="14">
        <v>0</v>
      </c>
      <c r="Y32" s="14">
        <v>0</v>
      </c>
      <c r="Z32" s="14">
        <f t="shared" si="9"/>
        <v>0</v>
      </c>
      <c r="AB32" s="88" t="s">
        <v>65</v>
      </c>
      <c r="AC32" s="26" t="str">
        <f t="shared" si="10"/>
        <v/>
      </c>
      <c r="AD32" s="26" t="str">
        <f t="shared" si="10"/>
        <v/>
      </c>
      <c r="AE32" s="26" t="str">
        <f t="shared" si="11"/>
        <v/>
      </c>
      <c r="AF32" s="26" t="str">
        <f t="shared" si="12"/>
        <v/>
      </c>
      <c r="AG32" s="26" t="str">
        <f t="shared" si="13"/>
        <v/>
      </c>
    </row>
    <row r="33" spans="1:33" x14ac:dyDescent="0.25">
      <c r="A33" s="88" t="s">
        <v>51</v>
      </c>
      <c r="B33" s="14">
        <v>3445</v>
      </c>
      <c r="C33" s="14">
        <v>103</v>
      </c>
      <c r="D33" s="14">
        <v>31</v>
      </c>
      <c r="E33" s="14">
        <v>16</v>
      </c>
      <c r="F33" s="14">
        <v>5</v>
      </c>
      <c r="G33" s="14">
        <v>3</v>
      </c>
      <c r="H33" s="14">
        <v>1</v>
      </c>
      <c r="I33" s="14">
        <v>0</v>
      </c>
      <c r="J33" s="14">
        <f t="shared" si="7"/>
        <v>56</v>
      </c>
      <c r="K33" s="14">
        <v>1</v>
      </c>
      <c r="L33" s="14">
        <v>0</v>
      </c>
      <c r="M33" s="14">
        <v>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f t="shared" si="8"/>
        <v>2</v>
      </c>
      <c r="X33" s="14">
        <v>0</v>
      </c>
      <c r="Y33" s="14">
        <v>0</v>
      </c>
      <c r="Z33" s="14">
        <f t="shared" si="9"/>
        <v>0</v>
      </c>
      <c r="AB33" s="88" t="s">
        <v>51</v>
      </c>
      <c r="AC33" s="26">
        <f t="shared" si="10"/>
        <v>0.95535219079312261</v>
      </c>
      <c r="AD33" s="26">
        <f t="shared" si="10"/>
        <v>2.8563505268996116E-2</v>
      </c>
      <c r="AE33" s="26">
        <f t="shared" si="11"/>
        <v>1.552967276760954E-2</v>
      </c>
      <c r="AF33" s="26">
        <f t="shared" si="12"/>
        <v>5.5463117027176932E-4</v>
      </c>
      <c r="AG33" s="26">
        <f t="shared" si="13"/>
        <v>0</v>
      </c>
    </row>
    <row r="34" spans="1:33" x14ac:dyDescent="0.25">
      <c r="A34" s="88" t="s">
        <v>54</v>
      </c>
      <c r="B34" s="14">
        <v>3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f t="shared" si="7"/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f t="shared" si="8"/>
        <v>0</v>
      </c>
      <c r="X34" s="14">
        <v>0</v>
      </c>
      <c r="Y34" s="14">
        <v>0</v>
      </c>
      <c r="Z34" s="14">
        <f t="shared" si="9"/>
        <v>0</v>
      </c>
      <c r="AB34" s="88" t="s">
        <v>54</v>
      </c>
      <c r="AC34" s="26">
        <f t="shared" si="10"/>
        <v>1</v>
      </c>
      <c r="AD34" s="26">
        <f t="shared" si="10"/>
        <v>0</v>
      </c>
      <c r="AE34" s="26">
        <f t="shared" si="11"/>
        <v>0</v>
      </c>
      <c r="AF34" s="26">
        <f t="shared" si="12"/>
        <v>0</v>
      </c>
      <c r="AG34" s="26">
        <f t="shared" si="13"/>
        <v>0</v>
      </c>
    </row>
    <row r="35" spans="1:33" x14ac:dyDescent="0.25">
      <c r="A35" s="88" t="s">
        <v>67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f t="shared" si="7"/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f t="shared" si="8"/>
        <v>0</v>
      </c>
      <c r="X35" s="14">
        <v>0</v>
      </c>
      <c r="Y35" s="14">
        <v>0</v>
      </c>
      <c r="Z35" s="14">
        <f t="shared" si="9"/>
        <v>0</v>
      </c>
      <c r="AB35" s="88" t="s">
        <v>67</v>
      </c>
      <c r="AC35" s="26" t="str">
        <f t="shared" si="10"/>
        <v/>
      </c>
      <c r="AD35" s="26" t="str">
        <f t="shared" si="10"/>
        <v/>
      </c>
      <c r="AE35" s="26" t="str">
        <f t="shared" si="11"/>
        <v/>
      </c>
      <c r="AF35" s="26" t="str">
        <f t="shared" si="12"/>
        <v/>
      </c>
      <c r="AG35" s="26" t="str">
        <f t="shared" si="13"/>
        <v/>
      </c>
    </row>
    <row r="36" spans="1:33" x14ac:dyDescent="0.25">
      <c r="A36" s="88" t="s">
        <v>75</v>
      </c>
      <c r="B36" s="14">
        <v>928</v>
      </c>
      <c r="C36" s="14">
        <v>63</v>
      </c>
      <c r="D36" s="14">
        <v>21</v>
      </c>
      <c r="E36" s="14">
        <v>4</v>
      </c>
      <c r="F36" s="14">
        <v>5</v>
      </c>
      <c r="G36" s="14">
        <v>3</v>
      </c>
      <c r="H36" s="14">
        <v>2</v>
      </c>
      <c r="I36" s="14">
        <v>0</v>
      </c>
      <c r="J36" s="14">
        <f t="shared" si="7"/>
        <v>35</v>
      </c>
      <c r="K36" s="14">
        <v>1</v>
      </c>
      <c r="L36" s="14">
        <v>0</v>
      </c>
      <c r="M36" s="14">
        <v>0</v>
      </c>
      <c r="N36" s="14">
        <v>0</v>
      </c>
      <c r="O36" s="14">
        <v>0</v>
      </c>
      <c r="P36" s="14">
        <v>1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f t="shared" si="8"/>
        <v>2</v>
      </c>
      <c r="X36" s="14">
        <v>0</v>
      </c>
      <c r="Y36" s="14">
        <v>0</v>
      </c>
      <c r="Z36" s="14">
        <f t="shared" si="9"/>
        <v>0</v>
      </c>
      <c r="AB36" s="88" t="s">
        <v>75</v>
      </c>
      <c r="AC36" s="26">
        <f t="shared" si="10"/>
        <v>0.90272373540856032</v>
      </c>
      <c r="AD36" s="26">
        <f t="shared" si="10"/>
        <v>6.1284046692607001E-2</v>
      </c>
      <c r="AE36" s="26">
        <f t="shared" si="11"/>
        <v>3.4046692607003888E-2</v>
      </c>
      <c r="AF36" s="26">
        <f t="shared" si="12"/>
        <v>1.9455252918287938E-3</v>
      </c>
      <c r="AG36" s="26">
        <f t="shared" si="13"/>
        <v>0</v>
      </c>
    </row>
    <row r="37" spans="1:33" x14ac:dyDescent="0.25">
      <c r="A37" s="88" t="s">
        <v>55</v>
      </c>
      <c r="B37" s="14">
        <v>0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f t="shared" si="7"/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f t="shared" si="8"/>
        <v>0</v>
      </c>
      <c r="X37" s="14">
        <v>0</v>
      </c>
      <c r="Y37" s="14">
        <v>0</v>
      </c>
      <c r="Z37" s="14">
        <f t="shared" si="9"/>
        <v>0</v>
      </c>
      <c r="AB37" s="88" t="s">
        <v>55</v>
      </c>
      <c r="AC37" s="26" t="str">
        <f t="shared" si="10"/>
        <v/>
      </c>
      <c r="AD37" s="26" t="str">
        <f t="shared" si="10"/>
        <v/>
      </c>
      <c r="AE37" s="26" t="str">
        <f t="shared" si="11"/>
        <v/>
      </c>
      <c r="AF37" s="26" t="str">
        <f t="shared" si="12"/>
        <v/>
      </c>
      <c r="AG37" s="26" t="str">
        <f t="shared" si="13"/>
        <v/>
      </c>
    </row>
    <row r="38" spans="1:33" x14ac:dyDescent="0.25">
      <c r="A38" s="88" t="s">
        <v>80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f t="shared" si="7"/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f t="shared" si="8"/>
        <v>0</v>
      </c>
      <c r="X38" s="14">
        <v>0</v>
      </c>
      <c r="Y38" s="14">
        <v>0</v>
      </c>
      <c r="Z38" s="14">
        <f t="shared" si="9"/>
        <v>0</v>
      </c>
      <c r="AB38" s="88" t="s">
        <v>80</v>
      </c>
      <c r="AC38" s="26" t="str">
        <f t="shared" si="10"/>
        <v/>
      </c>
      <c r="AD38" s="26" t="str">
        <f t="shared" si="10"/>
        <v/>
      </c>
      <c r="AE38" s="26" t="str">
        <f t="shared" si="11"/>
        <v/>
      </c>
      <c r="AF38" s="26" t="str">
        <f t="shared" si="12"/>
        <v/>
      </c>
      <c r="AG38" s="26" t="str">
        <f t="shared" si="13"/>
        <v/>
      </c>
    </row>
    <row r="39" spans="1:33" x14ac:dyDescent="0.25">
      <c r="A39" s="88" t="s">
        <v>56</v>
      </c>
      <c r="B39" s="14">
        <v>237</v>
      </c>
      <c r="C39" s="14">
        <v>18</v>
      </c>
      <c r="D39" s="14">
        <v>8</v>
      </c>
      <c r="E39" s="14">
        <v>3</v>
      </c>
      <c r="F39" s="14">
        <v>5</v>
      </c>
      <c r="G39" s="14">
        <v>1</v>
      </c>
      <c r="H39" s="14">
        <v>1</v>
      </c>
      <c r="I39" s="14">
        <v>1</v>
      </c>
      <c r="J39" s="14">
        <f t="shared" si="7"/>
        <v>19</v>
      </c>
      <c r="K39" s="14">
        <v>0</v>
      </c>
      <c r="L39" s="14">
        <v>1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f t="shared" si="8"/>
        <v>1</v>
      </c>
      <c r="X39" s="14">
        <v>0</v>
      </c>
      <c r="Y39" s="14">
        <v>0</v>
      </c>
      <c r="Z39" s="14">
        <f t="shared" si="9"/>
        <v>0</v>
      </c>
      <c r="AB39" s="88" t="s">
        <v>56</v>
      </c>
      <c r="AC39" s="26">
        <f t="shared" si="10"/>
        <v>0.86181818181818182</v>
      </c>
      <c r="AD39" s="26">
        <f t="shared" si="10"/>
        <v>6.545454545454546E-2</v>
      </c>
      <c r="AE39" s="26">
        <f t="shared" si="11"/>
        <v>6.9090909090909092E-2</v>
      </c>
      <c r="AF39" s="26">
        <f t="shared" si="12"/>
        <v>3.6363636363636364E-3</v>
      </c>
      <c r="AG39" s="26">
        <f t="shared" si="13"/>
        <v>0</v>
      </c>
    </row>
    <row r="40" spans="1:33" x14ac:dyDescent="0.25">
      <c r="A40" s="88" t="s">
        <v>57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f t="shared" si="7"/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f t="shared" si="8"/>
        <v>0</v>
      </c>
      <c r="X40" s="14">
        <v>0</v>
      </c>
      <c r="Y40" s="14">
        <v>0</v>
      </c>
      <c r="Z40" s="14">
        <f t="shared" si="9"/>
        <v>0</v>
      </c>
      <c r="AB40" s="88" t="s">
        <v>57</v>
      </c>
      <c r="AC40" s="26" t="str">
        <f t="shared" si="10"/>
        <v/>
      </c>
      <c r="AD40" s="26" t="str">
        <f t="shared" si="10"/>
        <v/>
      </c>
      <c r="AE40" s="26" t="str">
        <f t="shared" si="11"/>
        <v/>
      </c>
      <c r="AF40" s="26" t="str">
        <f t="shared" si="12"/>
        <v/>
      </c>
      <c r="AG40" s="26" t="str">
        <f t="shared" si="13"/>
        <v/>
      </c>
    </row>
    <row r="41" spans="1:33" x14ac:dyDescent="0.25">
      <c r="A41" s="88" t="s">
        <v>86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f t="shared" si="7"/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f t="shared" si="8"/>
        <v>0</v>
      </c>
      <c r="X41" s="14">
        <v>0</v>
      </c>
      <c r="Y41" s="14">
        <v>0</v>
      </c>
      <c r="Z41" s="14">
        <f t="shared" si="9"/>
        <v>0</v>
      </c>
      <c r="AB41" s="88" t="s">
        <v>86</v>
      </c>
      <c r="AC41" s="26" t="str">
        <f t="shared" si="10"/>
        <v/>
      </c>
      <c r="AD41" s="26" t="str">
        <f t="shared" si="10"/>
        <v/>
      </c>
      <c r="AE41" s="26" t="str">
        <f t="shared" si="11"/>
        <v/>
      </c>
      <c r="AF41" s="26" t="str">
        <f t="shared" si="12"/>
        <v/>
      </c>
      <c r="AG41" s="26" t="str">
        <f t="shared" si="13"/>
        <v/>
      </c>
    </row>
    <row r="42" spans="1:33" x14ac:dyDescent="0.25">
      <c r="A42" s="95" t="s">
        <v>59</v>
      </c>
      <c r="B42" s="96">
        <v>8179</v>
      </c>
      <c r="C42" s="96">
        <v>316</v>
      </c>
      <c r="D42" s="96">
        <v>81</v>
      </c>
      <c r="E42" s="96">
        <v>34</v>
      </c>
      <c r="F42" s="96">
        <v>20</v>
      </c>
      <c r="G42" s="96">
        <v>12</v>
      </c>
      <c r="H42" s="96">
        <v>5</v>
      </c>
      <c r="I42" s="96">
        <v>2</v>
      </c>
      <c r="J42" s="61">
        <f t="shared" si="7"/>
        <v>154</v>
      </c>
      <c r="K42" s="96">
        <v>2</v>
      </c>
      <c r="L42" s="96">
        <v>3</v>
      </c>
      <c r="M42" s="96">
        <v>1</v>
      </c>
      <c r="N42" s="96">
        <v>0</v>
      </c>
      <c r="O42" s="96">
        <v>0</v>
      </c>
      <c r="P42" s="96">
        <v>1</v>
      </c>
      <c r="Q42" s="96">
        <v>0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61">
        <f t="shared" si="8"/>
        <v>7</v>
      </c>
      <c r="X42" s="96">
        <v>0</v>
      </c>
      <c r="Y42" s="96">
        <v>2</v>
      </c>
      <c r="Z42" s="61">
        <f t="shared" si="9"/>
        <v>2</v>
      </c>
      <c r="AB42" s="95" t="s">
        <v>59</v>
      </c>
      <c r="AC42" s="101">
        <f t="shared" si="10"/>
        <v>0.94467544467544462</v>
      </c>
      <c r="AD42" s="101">
        <f t="shared" si="10"/>
        <v>3.6498036498036499E-2</v>
      </c>
      <c r="AE42" s="62">
        <f t="shared" si="11"/>
        <v>1.7787017787017786E-2</v>
      </c>
      <c r="AF42" s="122">
        <f t="shared" si="12"/>
        <v>8.0850080850080849E-4</v>
      </c>
      <c r="AG42" s="122">
        <f t="shared" si="13"/>
        <v>2.3100023100023099E-4</v>
      </c>
    </row>
  </sheetData>
  <mergeCells count="4">
    <mergeCell ref="A3:B3"/>
    <mergeCell ref="A24:B24"/>
    <mergeCell ref="AB3:AD3"/>
    <mergeCell ref="AB24:AC24"/>
  </mergeCells>
  <hyperlinks>
    <hyperlink ref="AA1" location="INDICE!A1" display="INDIC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"/>
  <sheetViews>
    <sheetView workbookViewId="0">
      <selection activeCell="AA1" sqref="AA1"/>
    </sheetView>
  </sheetViews>
  <sheetFormatPr baseColWidth="10" defaultRowHeight="15" x14ac:dyDescent="0.25"/>
  <cols>
    <col min="1" max="1" width="22.85546875" customWidth="1"/>
    <col min="4" max="9" width="0" hidden="1" customWidth="1"/>
    <col min="11" max="22" width="0" hidden="1" customWidth="1"/>
    <col min="24" max="25" width="0" hidden="1" customWidth="1"/>
    <col min="28" max="28" width="20.42578125" customWidth="1"/>
  </cols>
  <sheetData>
    <row r="1" spans="1:33" x14ac:dyDescent="0.25">
      <c r="Z1" s="2" t="s">
        <v>0</v>
      </c>
      <c r="AA1" s="176" t="s">
        <v>1</v>
      </c>
      <c r="AB1" s="2" t="s">
        <v>216</v>
      </c>
      <c r="AC1" t="s">
        <v>226</v>
      </c>
    </row>
    <row r="2" spans="1:33" ht="18.75" x14ac:dyDescent="0.3">
      <c r="A2" s="94" t="s">
        <v>85</v>
      </c>
    </row>
    <row r="3" spans="1:33" x14ac:dyDescent="0.25">
      <c r="A3" s="310" t="s">
        <v>116</v>
      </c>
      <c r="B3" s="310"/>
      <c r="C3" s="93"/>
      <c r="D3" s="92"/>
      <c r="AB3" s="310" t="s">
        <v>116</v>
      </c>
      <c r="AC3" s="310"/>
      <c r="AD3" s="310"/>
      <c r="AE3" s="92"/>
    </row>
    <row r="4" spans="1:33" ht="15.75" x14ac:dyDescent="0.25">
      <c r="A4" s="97" t="s">
        <v>94</v>
      </c>
      <c r="B4" s="98" t="s">
        <v>117</v>
      </c>
      <c r="C4" s="98" t="s">
        <v>118</v>
      </c>
      <c r="D4" s="98" t="s">
        <v>119</v>
      </c>
      <c r="E4" s="98" t="s">
        <v>120</v>
      </c>
      <c r="F4" s="98" t="s">
        <v>121</v>
      </c>
      <c r="G4" s="98" t="s">
        <v>122</v>
      </c>
      <c r="H4" s="98" t="s">
        <v>123</v>
      </c>
      <c r="I4" s="98" t="s">
        <v>124</v>
      </c>
      <c r="J4" s="99" t="s">
        <v>125</v>
      </c>
      <c r="K4" s="98" t="s">
        <v>126</v>
      </c>
      <c r="L4" s="98" t="s">
        <v>127</v>
      </c>
      <c r="M4" s="98" t="s">
        <v>128</v>
      </c>
      <c r="N4" s="98" t="s">
        <v>129</v>
      </c>
      <c r="O4" s="98" t="s">
        <v>130</v>
      </c>
      <c r="P4" s="98" t="s">
        <v>131</v>
      </c>
      <c r="Q4" s="98" t="s">
        <v>132</v>
      </c>
      <c r="R4" s="98" t="s">
        <v>133</v>
      </c>
      <c r="S4" s="98" t="s">
        <v>134</v>
      </c>
      <c r="T4" s="98" t="s">
        <v>135</v>
      </c>
      <c r="U4" s="98" t="s">
        <v>136</v>
      </c>
      <c r="V4" s="98" t="s">
        <v>137</v>
      </c>
      <c r="W4" s="99" t="s">
        <v>138</v>
      </c>
      <c r="X4" s="98" t="s">
        <v>139</v>
      </c>
      <c r="Y4" s="98" t="s">
        <v>140</v>
      </c>
      <c r="Z4" s="99" t="s">
        <v>141</v>
      </c>
      <c r="AB4" s="97" t="s">
        <v>94</v>
      </c>
      <c r="AC4" s="98" t="s">
        <v>117</v>
      </c>
      <c r="AD4" s="98" t="s">
        <v>118</v>
      </c>
      <c r="AE4" s="100" t="s">
        <v>125</v>
      </c>
      <c r="AF4" s="99" t="s">
        <v>138</v>
      </c>
      <c r="AG4" s="99" t="s">
        <v>141</v>
      </c>
    </row>
    <row r="5" spans="1:33" x14ac:dyDescent="0.25">
      <c r="A5" s="88" t="s">
        <v>49</v>
      </c>
      <c r="B5" s="14">
        <v>895.9</v>
      </c>
      <c r="C5" s="14">
        <v>692.26</v>
      </c>
      <c r="D5" s="14">
        <v>697.81</v>
      </c>
      <c r="E5" s="14">
        <v>472.68</v>
      </c>
      <c r="F5" s="14">
        <v>221.52</v>
      </c>
      <c r="G5" s="14">
        <v>141.1</v>
      </c>
      <c r="H5" s="14">
        <v>169.14</v>
      </c>
      <c r="I5" s="14">
        <v>107.87</v>
      </c>
      <c r="J5" s="14">
        <f>SUM(D5:I5)</f>
        <v>1810.12</v>
      </c>
      <c r="K5" s="14">
        <v>44.24</v>
      </c>
      <c r="L5" s="14">
        <v>93.53</v>
      </c>
      <c r="M5" s="14">
        <v>0</v>
      </c>
      <c r="N5" s="14">
        <v>0</v>
      </c>
      <c r="O5" s="14">
        <v>64.02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f>SUM(K5:V5)</f>
        <v>201.79000000000002</v>
      </c>
      <c r="X5" s="14">
        <v>113.94</v>
      </c>
      <c r="Y5" s="14">
        <v>0</v>
      </c>
      <c r="Z5" s="14">
        <f>SUM(X5:Y5)</f>
        <v>113.94</v>
      </c>
      <c r="AB5" s="88" t="s">
        <v>49</v>
      </c>
      <c r="AC5" s="26">
        <f>IFERROR(B5/SUM($B5+$C5+$J5+$W5+$Z5),"")</f>
        <v>0.24122175223006939</v>
      </c>
      <c r="AD5" s="26">
        <f>IFERROR(C5/SUM($B5+$C5+$J5+$W5+$Z5),"")</f>
        <v>0.18639152829421571</v>
      </c>
      <c r="AE5" s="26">
        <f>IFERROR(J5/SUM($B5+$C5+$J5+$W5+$Z5),"")</f>
        <v>0.48737617830862062</v>
      </c>
      <c r="AF5" s="26">
        <f>IFERROR(W5/SUM($B5+$C5+$J5+$W5+$Z5),"")</f>
        <v>5.4332110037398941E-2</v>
      </c>
      <c r="AG5" s="26">
        <f>IFERROR(Z5/SUM($B5+$C5+$J5+$W5+$Z5),"")</f>
        <v>3.0678431129695399E-2</v>
      </c>
    </row>
    <row r="6" spans="1:33" x14ac:dyDescent="0.25">
      <c r="A6" s="88" t="s">
        <v>50</v>
      </c>
      <c r="B6" s="14">
        <v>0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f t="shared" ref="J6:J21" si="0">SUM(D6:I6)</f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f t="shared" ref="W6:W21" si="1">SUM(K6:V6)</f>
        <v>0</v>
      </c>
      <c r="X6" s="14">
        <v>0</v>
      </c>
      <c r="Y6" s="14">
        <v>0</v>
      </c>
      <c r="Z6" s="14">
        <f t="shared" ref="Z6:Z21" si="2">SUM(X6:Y6)</f>
        <v>0</v>
      </c>
      <c r="AB6" s="88" t="s">
        <v>50</v>
      </c>
      <c r="AC6" s="26" t="str">
        <f t="shared" ref="AC6:AD21" si="3">IFERROR(B6/SUM($B6+$C6+$J6+$W6+$Z6),"")</f>
        <v/>
      </c>
      <c r="AD6" s="26" t="str">
        <f t="shared" si="3"/>
        <v/>
      </c>
      <c r="AE6" s="26" t="str">
        <f t="shared" ref="AE6:AE21" si="4">IFERROR(J6/SUM($B6+$C6+$J6+$W6+$Z6),"")</f>
        <v/>
      </c>
      <c r="AF6" s="26" t="str">
        <f t="shared" ref="AF6:AF21" si="5">IFERROR(W6/SUM($B6+$C6+$J6+$W6+$Z6),"")</f>
        <v/>
      </c>
      <c r="AG6" s="26" t="str">
        <f t="shared" ref="AG6:AG21" si="6">IFERROR(Z6/SUM($B6+$C6+$J6+$W6+$Z6),"")</f>
        <v/>
      </c>
    </row>
    <row r="7" spans="1:33" x14ac:dyDescent="0.25">
      <c r="A7" s="88" t="s">
        <v>63</v>
      </c>
      <c r="B7" s="14">
        <v>5.6</v>
      </c>
      <c r="C7" s="14">
        <v>0</v>
      </c>
      <c r="D7" s="14">
        <v>0</v>
      </c>
      <c r="E7" s="14">
        <v>17.25</v>
      </c>
      <c r="F7" s="14">
        <v>22.72</v>
      </c>
      <c r="G7" s="14">
        <v>0</v>
      </c>
      <c r="H7" s="14">
        <v>0</v>
      </c>
      <c r="I7" s="14">
        <v>0</v>
      </c>
      <c r="J7" s="14">
        <f t="shared" si="0"/>
        <v>39.97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f t="shared" si="1"/>
        <v>0</v>
      </c>
      <c r="X7" s="14">
        <v>0</v>
      </c>
      <c r="Y7" s="14">
        <v>0</v>
      </c>
      <c r="Z7" s="14">
        <f t="shared" si="2"/>
        <v>0</v>
      </c>
      <c r="AB7" s="88" t="s">
        <v>63</v>
      </c>
      <c r="AC7" s="26">
        <f t="shared" si="3"/>
        <v>0.12288786482334868</v>
      </c>
      <c r="AD7" s="26">
        <f t="shared" si="3"/>
        <v>0</v>
      </c>
      <c r="AE7" s="26">
        <f t="shared" si="4"/>
        <v>0.87711213517665132</v>
      </c>
      <c r="AF7" s="26">
        <f t="shared" si="5"/>
        <v>0</v>
      </c>
      <c r="AG7" s="26">
        <f t="shared" si="6"/>
        <v>0</v>
      </c>
    </row>
    <row r="8" spans="1:33" x14ac:dyDescent="0.25">
      <c r="A8" s="88" t="s">
        <v>60</v>
      </c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f t="shared" si="0"/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f t="shared" si="1"/>
        <v>0</v>
      </c>
      <c r="X8" s="14">
        <v>0</v>
      </c>
      <c r="Y8" s="14">
        <v>0</v>
      </c>
      <c r="Z8" s="14">
        <f t="shared" si="2"/>
        <v>0</v>
      </c>
      <c r="AB8" s="88" t="s">
        <v>60</v>
      </c>
      <c r="AC8" s="26" t="str">
        <f t="shared" si="3"/>
        <v/>
      </c>
      <c r="AD8" s="26" t="str">
        <f t="shared" si="3"/>
        <v/>
      </c>
      <c r="AE8" s="26" t="str">
        <f t="shared" si="4"/>
        <v/>
      </c>
      <c r="AF8" s="26" t="str">
        <f t="shared" si="5"/>
        <v/>
      </c>
      <c r="AG8" s="26" t="str">
        <f t="shared" si="6"/>
        <v/>
      </c>
    </row>
    <row r="9" spans="1:33" x14ac:dyDescent="0.25">
      <c r="A9" s="88" t="s">
        <v>53</v>
      </c>
      <c r="B9" s="14">
        <v>185.09</v>
      </c>
      <c r="C9" s="14">
        <v>34.79</v>
      </c>
      <c r="D9" s="14">
        <v>0</v>
      </c>
      <c r="E9" s="14">
        <v>16.649999999999999</v>
      </c>
      <c r="F9" s="14">
        <v>0</v>
      </c>
      <c r="G9" s="14">
        <v>0</v>
      </c>
      <c r="H9" s="14">
        <v>0</v>
      </c>
      <c r="I9" s="14">
        <v>0</v>
      </c>
      <c r="J9" s="14">
        <f t="shared" si="0"/>
        <v>16.649999999999999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f t="shared" si="1"/>
        <v>0</v>
      </c>
      <c r="X9" s="14">
        <v>0</v>
      </c>
      <c r="Y9" s="14">
        <v>0</v>
      </c>
      <c r="Z9" s="14">
        <f t="shared" si="2"/>
        <v>0</v>
      </c>
      <c r="AB9" s="88" t="s">
        <v>53</v>
      </c>
      <c r="AC9" s="26">
        <f t="shared" si="3"/>
        <v>0.78252230161078939</v>
      </c>
      <c r="AD9" s="26">
        <f t="shared" si="3"/>
        <v>0.14708493637170761</v>
      </c>
      <c r="AE9" s="26">
        <f t="shared" si="4"/>
        <v>7.0392762017503052E-2</v>
      </c>
      <c r="AF9" s="26">
        <f t="shared" si="5"/>
        <v>0</v>
      </c>
      <c r="AG9" s="26">
        <f t="shared" si="6"/>
        <v>0</v>
      </c>
    </row>
    <row r="10" spans="1:33" x14ac:dyDescent="0.25">
      <c r="A10" s="88" t="s">
        <v>52</v>
      </c>
      <c r="B10" s="14">
        <v>0.84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f t="shared" si="0"/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f t="shared" si="1"/>
        <v>0</v>
      </c>
      <c r="X10" s="14">
        <v>0</v>
      </c>
      <c r="Y10" s="14">
        <v>0</v>
      </c>
      <c r="Z10" s="14">
        <f t="shared" si="2"/>
        <v>0</v>
      </c>
      <c r="AB10" s="88" t="s">
        <v>52</v>
      </c>
      <c r="AC10" s="26">
        <f t="shared" si="3"/>
        <v>1</v>
      </c>
      <c r="AD10" s="26">
        <f t="shared" si="3"/>
        <v>0</v>
      </c>
      <c r="AE10" s="26">
        <f t="shared" si="4"/>
        <v>0</v>
      </c>
      <c r="AF10" s="26">
        <f t="shared" si="5"/>
        <v>0</v>
      </c>
      <c r="AG10" s="26">
        <f t="shared" si="6"/>
        <v>0</v>
      </c>
    </row>
    <row r="11" spans="1:33" x14ac:dyDescent="0.25">
      <c r="A11" s="88" t="s">
        <v>65</v>
      </c>
      <c r="B11" s="14">
        <v>2.61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f t="shared" si="0"/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f t="shared" si="1"/>
        <v>0</v>
      </c>
      <c r="X11" s="14">
        <v>0</v>
      </c>
      <c r="Y11" s="14">
        <v>0</v>
      </c>
      <c r="Z11" s="14">
        <f t="shared" si="2"/>
        <v>0</v>
      </c>
      <c r="AB11" s="88" t="s">
        <v>65</v>
      </c>
      <c r="AC11" s="26">
        <f t="shared" si="3"/>
        <v>1</v>
      </c>
      <c r="AD11" s="26">
        <f t="shared" si="3"/>
        <v>0</v>
      </c>
      <c r="AE11" s="26">
        <f t="shared" si="4"/>
        <v>0</v>
      </c>
      <c r="AF11" s="26">
        <f t="shared" si="5"/>
        <v>0</v>
      </c>
      <c r="AG11" s="26">
        <f t="shared" si="6"/>
        <v>0</v>
      </c>
    </row>
    <row r="12" spans="1:33" x14ac:dyDescent="0.25">
      <c r="A12" s="88" t="s">
        <v>51</v>
      </c>
      <c r="B12" s="14">
        <v>10.69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f t="shared" si="0"/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f t="shared" si="1"/>
        <v>0</v>
      </c>
      <c r="X12" s="14">
        <v>102.88500000000001</v>
      </c>
      <c r="Y12" s="14">
        <v>0</v>
      </c>
      <c r="Z12" s="14">
        <f t="shared" si="2"/>
        <v>102.88500000000001</v>
      </c>
      <c r="AB12" s="88" t="s">
        <v>51</v>
      </c>
      <c r="AC12" s="26">
        <f t="shared" si="3"/>
        <v>9.4122826326216144E-2</v>
      </c>
      <c r="AD12" s="26">
        <f t="shared" si="3"/>
        <v>0</v>
      </c>
      <c r="AE12" s="26">
        <f t="shared" si="4"/>
        <v>0</v>
      </c>
      <c r="AF12" s="26">
        <f t="shared" si="5"/>
        <v>0</v>
      </c>
      <c r="AG12" s="26">
        <f t="shared" si="6"/>
        <v>0.90587717367378384</v>
      </c>
    </row>
    <row r="13" spans="1:33" x14ac:dyDescent="0.25">
      <c r="A13" s="88" t="s">
        <v>54</v>
      </c>
      <c r="B13" s="14">
        <v>1201.4549999999999</v>
      </c>
      <c r="C13" s="14">
        <v>294.41000000000003</v>
      </c>
      <c r="D13" s="14">
        <v>93.42</v>
      </c>
      <c r="E13" s="14">
        <v>219.83</v>
      </c>
      <c r="F13" s="14">
        <v>87.51</v>
      </c>
      <c r="G13" s="14">
        <v>55.17</v>
      </c>
      <c r="H13" s="14">
        <v>61.64</v>
      </c>
      <c r="I13" s="14">
        <v>74.03</v>
      </c>
      <c r="J13" s="14">
        <f t="shared" si="0"/>
        <v>591.6</v>
      </c>
      <c r="K13" s="14">
        <v>0</v>
      </c>
      <c r="L13" s="14">
        <v>45.32</v>
      </c>
      <c r="M13" s="14">
        <v>0</v>
      </c>
      <c r="N13" s="14">
        <v>57.23</v>
      </c>
      <c r="O13" s="14">
        <v>0</v>
      </c>
      <c r="P13" s="14">
        <v>0</v>
      </c>
      <c r="Q13" s="14">
        <v>0</v>
      </c>
      <c r="R13" s="14">
        <v>79.89</v>
      </c>
      <c r="S13" s="14">
        <v>0</v>
      </c>
      <c r="T13" s="14">
        <v>0</v>
      </c>
      <c r="U13" s="14">
        <v>0</v>
      </c>
      <c r="V13" s="14">
        <v>0</v>
      </c>
      <c r="W13" s="14">
        <f t="shared" si="1"/>
        <v>182.44</v>
      </c>
      <c r="X13" s="14">
        <v>251.93</v>
      </c>
      <c r="Y13" s="14">
        <v>155.97</v>
      </c>
      <c r="Z13" s="14">
        <f t="shared" si="2"/>
        <v>407.9</v>
      </c>
      <c r="AB13" s="88" t="s">
        <v>54</v>
      </c>
      <c r="AC13" s="26">
        <f t="shared" si="3"/>
        <v>0.44867157989472711</v>
      </c>
      <c r="AD13" s="26">
        <f t="shared" si="3"/>
        <v>0.10994452546021835</v>
      </c>
      <c r="AE13" s="26">
        <f t="shared" si="4"/>
        <v>0.22092721464034909</v>
      </c>
      <c r="AF13" s="26">
        <f t="shared" si="5"/>
        <v>6.8130427719718195E-2</v>
      </c>
      <c r="AG13" s="26">
        <f t="shared" si="6"/>
        <v>0.15232625228498711</v>
      </c>
    </row>
    <row r="14" spans="1:33" x14ac:dyDescent="0.25">
      <c r="A14" s="88" t="s">
        <v>67</v>
      </c>
      <c r="B14" s="14">
        <v>1544.3599999999899</v>
      </c>
      <c r="C14" s="14">
        <v>431.06</v>
      </c>
      <c r="D14" s="14">
        <v>185.63</v>
      </c>
      <c r="E14" s="14">
        <v>120.93</v>
      </c>
      <c r="F14" s="14">
        <v>22.2</v>
      </c>
      <c r="G14" s="14">
        <v>0</v>
      </c>
      <c r="H14" s="14">
        <v>0</v>
      </c>
      <c r="I14" s="14">
        <v>0</v>
      </c>
      <c r="J14" s="14">
        <f t="shared" si="0"/>
        <v>328.76</v>
      </c>
      <c r="K14" s="14">
        <v>0</v>
      </c>
      <c r="L14" s="14">
        <v>0</v>
      </c>
      <c r="M14" s="14">
        <v>0</v>
      </c>
      <c r="N14" s="14">
        <v>59.65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f t="shared" si="1"/>
        <v>59.65</v>
      </c>
      <c r="X14" s="14">
        <v>0</v>
      </c>
      <c r="Y14" s="14">
        <v>155.88999999999999</v>
      </c>
      <c r="Z14" s="14">
        <f t="shared" si="2"/>
        <v>155.88999999999999</v>
      </c>
      <c r="AB14" s="88" t="s">
        <v>67</v>
      </c>
      <c r="AC14" s="26">
        <f t="shared" si="3"/>
        <v>0.61290937088247743</v>
      </c>
      <c r="AD14" s="26">
        <f t="shared" si="3"/>
        <v>0.17107456384042741</v>
      </c>
      <c r="AE14" s="26">
        <f t="shared" si="4"/>
        <v>0.1304748146619471</v>
      </c>
      <c r="AF14" s="26">
        <f t="shared" si="5"/>
        <v>2.3673265283444288E-2</v>
      </c>
      <c r="AG14" s="26">
        <f t="shared" si="6"/>
        <v>6.1867985331703769E-2</v>
      </c>
    </row>
    <row r="15" spans="1:33" x14ac:dyDescent="0.25">
      <c r="A15" s="88" t="s">
        <v>75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f t="shared" si="0"/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f t="shared" si="1"/>
        <v>0</v>
      </c>
      <c r="X15" s="14">
        <v>0</v>
      </c>
      <c r="Y15" s="14">
        <v>0</v>
      </c>
      <c r="Z15" s="14">
        <f t="shared" si="2"/>
        <v>0</v>
      </c>
      <c r="AB15" s="88" t="s">
        <v>75</v>
      </c>
      <c r="AC15" s="26" t="str">
        <f t="shared" si="3"/>
        <v/>
      </c>
      <c r="AD15" s="26" t="str">
        <f t="shared" si="3"/>
        <v/>
      </c>
      <c r="AE15" s="26" t="str">
        <f t="shared" si="4"/>
        <v/>
      </c>
      <c r="AF15" s="26" t="str">
        <f t="shared" si="5"/>
        <v/>
      </c>
      <c r="AG15" s="26" t="str">
        <f t="shared" si="6"/>
        <v/>
      </c>
    </row>
    <row r="16" spans="1:33" x14ac:dyDescent="0.25">
      <c r="A16" s="88" t="s">
        <v>55</v>
      </c>
      <c r="B16" s="14">
        <v>0.78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f t="shared" si="0"/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f t="shared" si="1"/>
        <v>0</v>
      </c>
      <c r="X16" s="14">
        <v>0</v>
      </c>
      <c r="Y16" s="14">
        <v>0</v>
      </c>
      <c r="Z16" s="14">
        <f t="shared" si="2"/>
        <v>0</v>
      </c>
      <c r="AB16" s="88" t="s">
        <v>55</v>
      </c>
      <c r="AC16" s="26">
        <f t="shared" si="3"/>
        <v>1</v>
      </c>
      <c r="AD16" s="26">
        <f t="shared" si="3"/>
        <v>0</v>
      </c>
      <c r="AE16" s="26">
        <f t="shared" si="4"/>
        <v>0</v>
      </c>
      <c r="AF16" s="26">
        <f t="shared" si="5"/>
        <v>0</v>
      </c>
      <c r="AG16" s="26">
        <f t="shared" si="6"/>
        <v>0</v>
      </c>
    </row>
    <row r="17" spans="1:33" x14ac:dyDescent="0.25">
      <c r="A17" s="88" t="s">
        <v>80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f t="shared" si="0"/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f t="shared" si="1"/>
        <v>0</v>
      </c>
      <c r="X17" s="14">
        <v>0</v>
      </c>
      <c r="Y17" s="14">
        <v>0</v>
      </c>
      <c r="Z17" s="14">
        <f t="shared" si="2"/>
        <v>0</v>
      </c>
      <c r="AB17" s="88" t="s">
        <v>80</v>
      </c>
      <c r="AC17" s="26" t="str">
        <f t="shared" si="3"/>
        <v/>
      </c>
      <c r="AD17" s="26" t="str">
        <f t="shared" si="3"/>
        <v/>
      </c>
      <c r="AE17" s="26" t="str">
        <f t="shared" si="4"/>
        <v/>
      </c>
      <c r="AF17" s="26" t="str">
        <f t="shared" si="5"/>
        <v/>
      </c>
      <c r="AG17" s="26" t="str">
        <f t="shared" si="6"/>
        <v/>
      </c>
    </row>
    <row r="18" spans="1:33" x14ac:dyDescent="0.25">
      <c r="A18" s="88" t="s">
        <v>56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f t="shared" si="0"/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f t="shared" si="1"/>
        <v>0</v>
      </c>
      <c r="X18" s="14">
        <v>0</v>
      </c>
      <c r="Y18" s="14">
        <v>0</v>
      </c>
      <c r="Z18" s="14">
        <f t="shared" si="2"/>
        <v>0</v>
      </c>
      <c r="AB18" s="88" t="s">
        <v>56</v>
      </c>
      <c r="AC18" s="26" t="str">
        <f t="shared" si="3"/>
        <v/>
      </c>
      <c r="AD18" s="26" t="str">
        <f t="shared" si="3"/>
        <v/>
      </c>
      <c r="AE18" s="26" t="str">
        <f t="shared" si="4"/>
        <v/>
      </c>
      <c r="AF18" s="26" t="str">
        <f t="shared" si="5"/>
        <v/>
      </c>
      <c r="AG18" s="26" t="str">
        <f t="shared" si="6"/>
        <v/>
      </c>
    </row>
    <row r="19" spans="1:33" x14ac:dyDescent="0.25">
      <c r="A19" s="88" t="s">
        <v>57</v>
      </c>
      <c r="B19" s="14">
        <v>0.89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f t="shared" si="0"/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f t="shared" si="1"/>
        <v>0</v>
      </c>
      <c r="X19" s="14">
        <v>0</v>
      </c>
      <c r="Y19" s="14">
        <v>0</v>
      </c>
      <c r="Z19" s="14">
        <f t="shared" si="2"/>
        <v>0</v>
      </c>
      <c r="AB19" s="88" t="s">
        <v>57</v>
      </c>
      <c r="AC19" s="26">
        <f t="shared" si="3"/>
        <v>1</v>
      </c>
      <c r="AD19" s="26">
        <f t="shared" si="3"/>
        <v>0</v>
      </c>
      <c r="AE19" s="26">
        <f t="shared" si="4"/>
        <v>0</v>
      </c>
      <c r="AF19" s="26">
        <f t="shared" si="5"/>
        <v>0</v>
      </c>
      <c r="AG19" s="26">
        <f t="shared" si="6"/>
        <v>0</v>
      </c>
    </row>
    <row r="20" spans="1:33" x14ac:dyDescent="0.25">
      <c r="A20" s="88" t="s">
        <v>86</v>
      </c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f t="shared" si="0"/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f t="shared" si="1"/>
        <v>0</v>
      </c>
      <c r="X20" s="14">
        <v>0</v>
      </c>
      <c r="Y20" s="14">
        <v>0</v>
      </c>
      <c r="Z20" s="14">
        <f t="shared" si="2"/>
        <v>0</v>
      </c>
      <c r="AB20" s="88" t="s">
        <v>86</v>
      </c>
      <c r="AC20" s="26" t="str">
        <f t="shared" si="3"/>
        <v/>
      </c>
      <c r="AD20" s="26" t="str">
        <f t="shared" si="3"/>
        <v/>
      </c>
      <c r="AE20" s="26" t="str">
        <f t="shared" si="4"/>
        <v/>
      </c>
      <c r="AF20" s="26" t="str">
        <f t="shared" si="5"/>
        <v/>
      </c>
      <c r="AG20" s="26" t="str">
        <f t="shared" si="6"/>
        <v/>
      </c>
    </row>
    <row r="21" spans="1:33" x14ac:dyDescent="0.25">
      <c r="A21" s="95" t="s">
        <v>59</v>
      </c>
      <c r="B21" s="96">
        <v>3848.2150000000001</v>
      </c>
      <c r="C21" s="96">
        <v>1452.52</v>
      </c>
      <c r="D21" s="96">
        <v>976.86</v>
      </c>
      <c r="E21" s="96">
        <v>847.34</v>
      </c>
      <c r="F21" s="96">
        <v>353.95</v>
      </c>
      <c r="G21" s="96">
        <v>196.27</v>
      </c>
      <c r="H21" s="96">
        <v>230.78</v>
      </c>
      <c r="I21" s="96">
        <v>181.9</v>
      </c>
      <c r="J21" s="61">
        <f t="shared" si="0"/>
        <v>2787.1000000000004</v>
      </c>
      <c r="K21" s="96">
        <v>44.24</v>
      </c>
      <c r="L21" s="96">
        <v>138.85</v>
      </c>
      <c r="M21" s="96">
        <v>0</v>
      </c>
      <c r="N21" s="96">
        <v>116.88</v>
      </c>
      <c r="O21" s="96">
        <v>64.02</v>
      </c>
      <c r="P21" s="96">
        <v>0</v>
      </c>
      <c r="Q21" s="96">
        <v>0</v>
      </c>
      <c r="R21" s="96">
        <v>79.89</v>
      </c>
      <c r="S21" s="96">
        <v>0</v>
      </c>
      <c r="T21" s="96">
        <v>0</v>
      </c>
      <c r="U21" s="96">
        <v>0</v>
      </c>
      <c r="V21" s="96">
        <v>0</v>
      </c>
      <c r="W21" s="61">
        <f t="shared" si="1"/>
        <v>443.88</v>
      </c>
      <c r="X21" s="96">
        <v>468.755</v>
      </c>
      <c r="Y21" s="96">
        <v>311.86</v>
      </c>
      <c r="Z21" s="61">
        <f t="shared" si="2"/>
        <v>780.61500000000001</v>
      </c>
      <c r="AB21" s="95" t="s">
        <v>59</v>
      </c>
      <c r="AC21" s="101">
        <f t="shared" si="3"/>
        <v>0.41323868462565222</v>
      </c>
      <c r="AD21" s="101">
        <f t="shared" si="3"/>
        <v>0.15597814939977428</v>
      </c>
      <c r="AE21" s="62">
        <f t="shared" si="4"/>
        <v>0.29929136961426411</v>
      </c>
      <c r="AF21" s="62">
        <f t="shared" si="5"/>
        <v>4.7665836584399393E-2</v>
      </c>
      <c r="AG21" s="62">
        <f t="shared" si="6"/>
        <v>8.3825959775910008E-2</v>
      </c>
    </row>
    <row r="24" spans="1:33" x14ac:dyDescent="0.25">
      <c r="A24" s="310" t="s">
        <v>147</v>
      </c>
      <c r="B24" s="310"/>
      <c r="C24" s="93"/>
      <c r="D24" s="92"/>
      <c r="AB24" s="310" t="s">
        <v>147</v>
      </c>
      <c r="AC24" s="310"/>
    </row>
    <row r="25" spans="1:33" ht="15.75" x14ac:dyDescent="0.25">
      <c r="A25" s="97" t="s">
        <v>94</v>
      </c>
      <c r="B25" s="98" t="s">
        <v>117</v>
      </c>
      <c r="C25" s="98" t="s">
        <v>118</v>
      </c>
      <c r="D25" s="98" t="s">
        <v>119</v>
      </c>
      <c r="E25" s="98" t="s">
        <v>120</v>
      </c>
      <c r="F25" s="98" t="s">
        <v>121</v>
      </c>
      <c r="G25" s="98" t="s">
        <v>122</v>
      </c>
      <c r="H25" s="98" t="s">
        <v>123</v>
      </c>
      <c r="I25" s="98" t="s">
        <v>124</v>
      </c>
      <c r="J25" s="99" t="s">
        <v>125</v>
      </c>
      <c r="K25" s="98" t="s">
        <v>126</v>
      </c>
      <c r="L25" s="98" t="s">
        <v>127</v>
      </c>
      <c r="M25" s="98" t="s">
        <v>128</v>
      </c>
      <c r="N25" s="98" t="s">
        <v>129</v>
      </c>
      <c r="O25" s="98" t="s">
        <v>130</v>
      </c>
      <c r="P25" s="98" t="s">
        <v>131</v>
      </c>
      <c r="Q25" s="98" t="s">
        <v>132</v>
      </c>
      <c r="R25" s="98" t="s">
        <v>133</v>
      </c>
      <c r="S25" s="98" t="s">
        <v>134</v>
      </c>
      <c r="T25" s="98" t="s">
        <v>135</v>
      </c>
      <c r="U25" s="98" t="s">
        <v>136</v>
      </c>
      <c r="V25" s="98" t="s">
        <v>137</v>
      </c>
      <c r="W25" s="99" t="s">
        <v>138</v>
      </c>
      <c r="X25" s="98" t="s">
        <v>139</v>
      </c>
      <c r="Y25" s="98" t="s">
        <v>140</v>
      </c>
      <c r="Z25" s="99" t="s">
        <v>141</v>
      </c>
      <c r="AB25" s="97" t="s">
        <v>94</v>
      </c>
      <c r="AC25" s="98" t="s">
        <v>117</v>
      </c>
      <c r="AD25" s="98" t="s">
        <v>118</v>
      </c>
      <c r="AE25" s="100" t="s">
        <v>125</v>
      </c>
      <c r="AF25" s="99" t="s">
        <v>138</v>
      </c>
      <c r="AG25" s="99" t="s">
        <v>141</v>
      </c>
    </row>
    <row r="26" spans="1:33" x14ac:dyDescent="0.25">
      <c r="A26" s="88" t="s">
        <v>49</v>
      </c>
      <c r="B26" s="14">
        <v>347</v>
      </c>
      <c r="C26" s="14">
        <v>99</v>
      </c>
      <c r="D26" s="14">
        <v>56</v>
      </c>
      <c r="E26" s="14">
        <v>27</v>
      </c>
      <c r="F26" s="14">
        <v>10</v>
      </c>
      <c r="G26" s="14">
        <v>5</v>
      </c>
      <c r="H26" s="14">
        <v>5</v>
      </c>
      <c r="I26" s="14">
        <v>3</v>
      </c>
      <c r="J26" s="14">
        <f>SUM(D26:I26)</f>
        <v>106</v>
      </c>
      <c r="K26" s="14">
        <v>1</v>
      </c>
      <c r="L26" s="14">
        <v>2</v>
      </c>
      <c r="M26" s="14">
        <v>0</v>
      </c>
      <c r="N26" s="14">
        <v>0</v>
      </c>
      <c r="O26" s="14">
        <v>1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f>SUM(K26:V26)</f>
        <v>4</v>
      </c>
      <c r="X26" s="14">
        <v>1</v>
      </c>
      <c r="Y26" s="14">
        <v>0</v>
      </c>
      <c r="Z26" s="14">
        <f>SUM(X26:Y26)</f>
        <v>1</v>
      </c>
      <c r="AB26" s="88" t="s">
        <v>49</v>
      </c>
      <c r="AC26" s="26">
        <f>IFERROR(B26/SUM($B26+$C26+$J26+$W26+$Z26),"")</f>
        <v>0.62298025134649915</v>
      </c>
      <c r="AD26" s="26">
        <f>IFERROR(C26/SUM($B26+$C26+$J26+$W26+$Z26),"")</f>
        <v>0.17773788150807898</v>
      </c>
      <c r="AE26" s="26">
        <f>IFERROR(J26/SUM($B26+$C26+$J26+$W26+$Z26),"")</f>
        <v>0.19030520646319568</v>
      </c>
      <c r="AF26" s="26">
        <f>IFERROR(W26/SUM($B26+$C26+$J26+$W26+$Z26),"")</f>
        <v>7.1813285457809697E-3</v>
      </c>
      <c r="AG26" s="26">
        <f>IFERROR(Z26/SUM($B26+$C26+$J26+$W26+$Z26),"")</f>
        <v>1.7953321364452424E-3</v>
      </c>
    </row>
    <row r="27" spans="1:33" x14ac:dyDescent="0.25">
      <c r="A27" s="88" t="s">
        <v>50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f t="shared" ref="J27:J42" si="7">SUM(D27:I27)</f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f t="shared" ref="W27:W42" si="8">SUM(K27:V27)</f>
        <v>0</v>
      </c>
      <c r="X27" s="14">
        <v>0</v>
      </c>
      <c r="Y27" s="14">
        <v>0</v>
      </c>
      <c r="Z27" s="14">
        <f t="shared" ref="Z27:Z42" si="9">SUM(X27:Y27)</f>
        <v>0</v>
      </c>
      <c r="AB27" s="88" t="s">
        <v>50</v>
      </c>
      <c r="AC27" s="26" t="str">
        <f t="shared" ref="AC27:AD42" si="10">IFERROR(B27/SUM($B27+$C27+$J27+$W27+$Z27),"")</f>
        <v/>
      </c>
      <c r="AD27" s="26" t="str">
        <f t="shared" si="10"/>
        <v/>
      </c>
      <c r="AE27" s="26" t="str">
        <f t="shared" ref="AE27:AE42" si="11">IFERROR(J27/SUM($B27+$C27+$J27+$W27+$Z27),"")</f>
        <v/>
      </c>
      <c r="AF27" s="26" t="str">
        <f t="shared" ref="AF27:AF42" si="12">IFERROR(W27/SUM($B27+$C27+$J27+$W27+$Z27),"")</f>
        <v/>
      </c>
      <c r="AG27" s="26" t="str">
        <f t="shared" ref="AG27:AG42" si="13">IFERROR(Z27/SUM($B27+$C27+$J27+$W27+$Z27),"")</f>
        <v/>
      </c>
    </row>
    <row r="28" spans="1:33" x14ac:dyDescent="0.25">
      <c r="A28" s="88" t="s">
        <v>63</v>
      </c>
      <c r="B28" s="14">
        <v>5</v>
      </c>
      <c r="C28" s="14">
        <v>0</v>
      </c>
      <c r="D28" s="14">
        <v>0</v>
      </c>
      <c r="E28" s="14">
        <v>1</v>
      </c>
      <c r="F28" s="14">
        <v>1</v>
      </c>
      <c r="G28" s="14">
        <v>0</v>
      </c>
      <c r="H28" s="14">
        <v>0</v>
      </c>
      <c r="I28" s="14">
        <v>0</v>
      </c>
      <c r="J28" s="14">
        <f t="shared" si="7"/>
        <v>2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f t="shared" si="8"/>
        <v>0</v>
      </c>
      <c r="X28" s="14">
        <v>0</v>
      </c>
      <c r="Y28" s="14">
        <v>0</v>
      </c>
      <c r="Z28" s="14">
        <f t="shared" si="9"/>
        <v>0</v>
      </c>
      <c r="AB28" s="88" t="s">
        <v>63</v>
      </c>
      <c r="AC28" s="26">
        <f t="shared" si="10"/>
        <v>0.7142857142857143</v>
      </c>
      <c r="AD28" s="26">
        <f t="shared" si="10"/>
        <v>0</v>
      </c>
      <c r="AE28" s="26">
        <f t="shared" si="11"/>
        <v>0.2857142857142857</v>
      </c>
      <c r="AF28" s="26">
        <f t="shared" si="12"/>
        <v>0</v>
      </c>
      <c r="AG28" s="26">
        <f t="shared" si="13"/>
        <v>0</v>
      </c>
    </row>
    <row r="29" spans="1:33" x14ac:dyDescent="0.25">
      <c r="A29" s="88" t="s">
        <v>60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f t="shared" si="7"/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f t="shared" si="8"/>
        <v>0</v>
      </c>
      <c r="X29" s="14">
        <v>0</v>
      </c>
      <c r="Y29" s="14">
        <v>0</v>
      </c>
      <c r="Z29" s="14">
        <f t="shared" si="9"/>
        <v>0</v>
      </c>
      <c r="AB29" s="88" t="s">
        <v>60</v>
      </c>
      <c r="AC29" s="26" t="str">
        <f t="shared" si="10"/>
        <v/>
      </c>
      <c r="AD29" s="26" t="str">
        <f t="shared" si="10"/>
        <v/>
      </c>
      <c r="AE29" s="26" t="str">
        <f t="shared" si="11"/>
        <v/>
      </c>
      <c r="AF29" s="26" t="str">
        <f t="shared" si="12"/>
        <v/>
      </c>
      <c r="AG29" s="26" t="str">
        <f t="shared" si="13"/>
        <v/>
      </c>
    </row>
    <row r="30" spans="1:33" x14ac:dyDescent="0.25">
      <c r="A30" s="88" t="s">
        <v>53</v>
      </c>
      <c r="B30" s="14">
        <v>186</v>
      </c>
      <c r="C30" s="14">
        <v>5</v>
      </c>
      <c r="D30" s="14">
        <v>0</v>
      </c>
      <c r="E30" s="14">
        <v>1</v>
      </c>
      <c r="F30" s="14">
        <v>0</v>
      </c>
      <c r="G30" s="14">
        <v>0</v>
      </c>
      <c r="H30" s="14">
        <v>0</v>
      </c>
      <c r="I30" s="14">
        <v>0</v>
      </c>
      <c r="J30" s="14">
        <f t="shared" si="7"/>
        <v>1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f t="shared" si="8"/>
        <v>0</v>
      </c>
      <c r="X30" s="14">
        <v>0</v>
      </c>
      <c r="Y30" s="14">
        <v>0</v>
      </c>
      <c r="Z30" s="14">
        <f t="shared" si="9"/>
        <v>0</v>
      </c>
      <c r="AB30" s="88" t="s">
        <v>53</v>
      </c>
      <c r="AC30" s="26">
        <f t="shared" si="10"/>
        <v>0.96875</v>
      </c>
      <c r="AD30" s="26">
        <f t="shared" si="10"/>
        <v>2.6041666666666668E-2</v>
      </c>
      <c r="AE30" s="26">
        <f t="shared" si="11"/>
        <v>5.208333333333333E-3</v>
      </c>
      <c r="AF30" s="26">
        <f t="shared" si="12"/>
        <v>0</v>
      </c>
      <c r="AG30" s="26">
        <f t="shared" si="13"/>
        <v>0</v>
      </c>
    </row>
    <row r="31" spans="1:33" x14ac:dyDescent="0.25">
      <c r="A31" s="88" t="s">
        <v>52</v>
      </c>
      <c r="B31" s="14">
        <v>3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f t="shared" si="7"/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f t="shared" si="8"/>
        <v>0</v>
      </c>
      <c r="X31" s="14">
        <v>0</v>
      </c>
      <c r="Y31" s="14">
        <v>0</v>
      </c>
      <c r="Z31" s="14">
        <f t="shared" si="9"/>
        <v>0</v>
      </c>
      <c r="AB31" s="88" t="s">
        <v>52</v>
      </c>
      <c r="AC31" s="26">
        <f t="shared" si="10"/>
        <v>1</v>
      </c>
      <c r="AD31" s="26">
        <f t="shared" si="10"/>
        <v>0</v>
      </c>
      <c r="AE31" s="26">
        <f t="shared" si="11"/>
        <v>0</v>
      </c>
      <c r="AF31" s="26">
        <f t="shared" si="12"/>
        <v>0</v>
      </c>
      <c r="AG31" s="26">
        <f t="shared" si="13"/>
        <v>0</v>
      </c>
    </row>
    <row r="32" spans="1:33" x14ac:dyDescent="0.25">
      <c r="A32" s="88" t="s">
        <v>65</v>
      </c>
      <c r="B32" s="14">
        <v>2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f t="shared" si="7"/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f t="shared" si="8"/>
        <v>0</v>
      </c>
      <c r="X32" s="14">
        <v>0</v>
      </c>
      <c r="Y32" s="14">
        <v>0</v>
      </c>
      <c r="Z32" s="14">
        <f t="shared" si="9"/>
        <v>0</v>
      </c>
      <c r="AB32" s="88" t="s">
        <v>65</v>
      </c>
      <c r="AC32" s="26">
        <f t="shared" si="10"/>
        <v>1</v>
      </c>
      <c r="AD32" s="26">
        <f t="shared" si="10"/>
        <v>0</v>
      </c>
      <c r="AE32" s="26">
        <f t="shared" si="11"/>
        <v>0</v>
      </c>
      <c r="AF32" s="26">
        <f t="shared" si="12"/>
        <v>0</v>
      </c>
      <c r="AG32" s="26">
        <f t="shared" si="13"/>
        <v>0</v>
      </c>
    </row>
    <row r="33" spans="1:33" x14ac:dyDescent="0.25">
      <c r="A33" s="88" t="s">
        <v>51</v>
      </c>
      <c r="B33" s="14">
        <v>11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f t="shared" si="7"/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f t="shared" si="8"/>
        <v>0</v>
      </c>
      <c r="X33" s="14">
        <v>1</v>
      </c>
      <c r="Y33" s="14">
        <v>0</v>
      </c>
      <c r="Z33" s="14">
        <f t="shared" si="9"/>
        <v>1</v>
      </c>
      <c r="AB33" s="88" t="s">
        <v>51</v>
      </c>
      <c r="AC33" s="26">
        <f t="shared" si="10"/>
        <v>0.91666666666666663</v>
      </c>
      <c r="AD33" s="26">
        <f t="shared" si="10"/>
        <v>0</v>
      </c>
      <c r="AE33" s="26">
        <f t="shared" si="11"/>
        <v>0</v>
      </c>
      <c r="AF33" s="26">
        <f t="shared" si="12"/>
        <v>0</v>
      </c>
      <c r="AG33" s="26">
        <f t="shared" si="13"/>
        <v>8.3333333333333329E-2</v>
      </c>
    </row>
    <row r="34" spans="1:33" x14ac:dyDescent="0.25">
      <c r="A34" s="88" t="s">
        <v>54</v>
      </c>
      <c r="B34" s="14">
        <v>1779</v>
      </c>
      <c r="C34" s="14">
        <v>43</v>
      </c>
      <c r="D34" s="14">
        <v>8</v>
      </c>
      <c r="E34" s="14">
        <v>13</v>
      </c>
      <c r="F34" s="14">
        <v>4</v>
      </c>
      <c r="G34" s="14">
        <v>2</v>
      </c>
      <c r="H34" s="14">
        <v>2</v>
      </c>
      <c r="I34" s="14">
        <v>2</v>
      </c>
      <c r="J34" s="14">
        <f t="shared" si="7"/>
        <v>31</v>
      </c>
      <c r="K34" s="14">
        <v>0</v>
      </c>
      <c r="L34" s="14">
        <v>1</v>
      </c>
      <c r="M34" s="14">
        <v>0</v>
      </c>
      <c r="N34" s="14">
        <v>1</v>
      </c>
      <c r="O34" s="14">
        <v>0</v>
      </c>
      <c r="P34" s="14">
        <v>0</v>
      </c>
      <c r="Q34" s="14">
        <v>0</v>
      </c>
      <c r="R34" s="14">
        <v>1</v>
      </c>
      <c r="S34" s="14">
        <v>0</v>
      </c>
      <c r="T34" s="14">
        <v>0</v>
      </c>
      <c r="U34" s="14">
        <v>0</v>
      </c>
      <c r="V34" s="14">
        <v>0</v>
      </c>
      <c r="W34" s="14">
        <f t="shared" si="8"/>
        <v>3</v>
      </c>
      <c r="X34" s="14">
        <v>2</v>
      </c>
      <c r="Y34" s="14">
        <v>1</v>
      </c>
      <c r="Z34" s="14">
        <f t="shared" si="9"/>
        <v>3</v>
      </c>
      <c r="AB34" s="88" t="s">
        <v>54</v>
      </c>
      <c r="AC34" s="26">
        <f t="shared" si="10"/>
        <v>0.95696611081226468</v>
      </c>
      <c r="AD34" s="26">
        <f t="shared" si="10"/>
        <v>2.3130715438407747E-2</v>
      </c>
      <c r="AE34" s="26">
        <f t="shared" si="11"/>
        <v>1.6675632060247445E-2</v>
      </c>
      <c r="AF34" s="26">
        <f t="shared" si="12"/>
        <v>1.6137708445400753E-3</v>
      </c>
      <c r="AG34" s="26">
        <f t="shared" si="13"/>
        <v>1.6137708445400753E-3</v>
      </c>
    </row>
    <row r="35" spans="1:33" x14ac:dyDescent="0.25">
      <c r="A35" s="88" t="s">
        <v>67</v>
      </c>
      <c r="B35" s="14">
        <v>2050</v>
      </c>
      <c r="C35" s="14">
        <v>64</v>
      </c>
      <c r="D35" s="14">
        <v>15</v>
      </c>
      <c r="E35" s="14">
        <v>7</v>
      </c>
      <c r="F35" s="14">
        <v>1</v>
      </c>
      <c r="G35" s="14">
        <v>0</v>
      </c>
      <c r="H35" s="14">
        <v>0</v>
      </c>
      <c r="I35" s="14">
        <v>0</v>
      </c>
      <c r="J35" s="14">
        <f t="shared" si="7"/>
        <v>23</v>
      </c>
      <c r="K35" s="14">
        <v>0</v>
      </c>
      <c r="L35" s="14">
        <v>0</v>
      </c>
      <c r="M35" s="14">
        <v>0</v>
      </c>
      <c r="N35" s="14">
        <v>1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f t="shared" si="8"/>
        <v>1</v>
      </c>
      <c r="X35" s="14">
        <v>0</v>
      </c>
      <c r="Y35" s="14">
        <v>1</v>
      </c>
      <c r="Z35" s="14">
        <f t="shared" si="9"/>
        <v>1</v>
      </c>
      <c r="AB35" s="88" t="s">
        <v>67</v>
      </c>
      <c r="AC35" s="26">
        <f t="shared" si="10"/>
        <v>0.95839177185600744</v>
      </c>
      <c r="AD35" s="26">
        <f t="shared" si="10"/>
        <v>2.9920523609163162E-2</v>
      </c>
      <c r="AE35" s="26">
        <f t="shared" si="11"/>
        <v>1.0752688172043012E-2</v>
      </c>
      <c r="AF35" s="26">
        <f t="shared" si="12"/>
        <v>4.675081813931744E-4</v>
      </c>
      <c r="AG35" s="26">
        <f t="shared" si="13"/>
        <v>4.675081813931744E-4</v>
      </c>
    </row>
    <row r="36" spans="1:33" x14ac:dyDescent="0.25">
      <c r="A36" s="88" t="s">
        <v>75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f t="shared" si="7"/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f t="shared" si="8"/>
        <v>0</v>
      </c>
      <c r="X36" s="14">
        <v>0</v>
      </c>
      <c r="Y36" s="14">
        <v>0</v>
      </c>
      <c r="Z36" s="14">
        <f t="shared" si="9"/>
        <v>0</v>
      </c>
      <c r="AB36" s="88" t="s">
        <v>75</v>
      </c>
      <c r="AC36" s="26" t="str">
        <f t="shared" si="10"/>
        <v/>
      </c>
      <c r="AD36" s="26" t="str">
        <f t="shared" si="10"/>
        <v/>
      </c>
      <c r="AE36" s="26" t="str">
        <f t="shared" si="11"/>
        <v/>
      </c>
      <c r="AF36" s="26" t="str">
        <f t="shared" si="12"/>
        <v/>
      </c>
      <c r="AG36" s="26" t="str">
        <f t="shared" si="13"/>
        <v/>
      </c>
    </row>
    <row r="37" spans="1:33" x14ac:dyDescent="0.25">
      <c r="A37" s="88" t="s">
        <v>55</v>
      </c>
      <c r="B37" s="14">
        <v>1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f t="shared" si="7"/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f t="shared" si="8"/>
        <v>0</v>
      </c>
      <c r="X37" s="14">
        <v>0</v>
      </c>
      <c r="Y37" s="14">
        <v>0</v>
      </c>
      <c r="Z37" s="14">
        <f t="shared" si="9"/>
        <v>0</v>
      </c>
      <c r="AB37" s="88" t="s">
        <v>55</v>
      </c>
      <c r="AC37" s="26">
        <f t="shared" si="10"/>
        <v>1</v>
      </c>
      <c r="AD37" s="26">
        <f t="shared" si="10"/>
        <v>0</v>
      </c>
      <c r="AE37" s="26">
        <f t="shared" si="11"/>
        <v>0</v>
      </c>
      <c r="AF37" s="26">
        <f t="shared" si="12"/>
        <v>0</v>
      </c>
      <c r="AG37" s="26">
        <f t="shared" si="13"/>
        <v>0</v>
      </c>
    </row>
    <row r="38" spans="1:33" x14ac:dyDescent="0.25">
      <c r="A38" s="88" t="s">
        <v>80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f t="shared" si="7"/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f t="shared" si="8"/>
        <v>0</v>
      </c>
      <c r="X38" s="14">
        <v>0</v>
      </c>
      <c r="Y38" s="14">
        <v>0</v>
      </c>
      <c r="Z38" s="14">
        <f t="shared" si="9"/>
        <v>0</v>
      </c>
      <c r="AB38" s="88" t="s">
        <v>80</v>
      </c>
      <c r="AC38" s="26" t="str">
        <f t="shared" si="10"/>
        <v/>
      </c>
      <c r="AD38" s="26" t="str">
        <f t="shared" si="10"/>
        <v/>
      </c>
      <c r="AE38" s="26" t="str">
        <f t="shared" si="11"/>
        <v/>
      </c>
      <c r="AF38" s="26" t="str">
        <f t="shared" si="12"/>
        <v/>
      </c>
      <c r="AG38" s="26" t="str">
        <f t="shared" si="13"/>
        <v/>
      </c>
    </row>
    <row r="39" spans="1:33" x14ac:dyDescent="0.25">
      <c r="A39" s="88" t="s">
        <v>56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f t="shared" si="7"/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f t="shared" si="8"/>
        <v>0</v>
      </c>
      <c r="X39" s="14">
        <v>0</v>
      </c>
      <c r="Y39" s="14">
        <v>0</v>
      </c>
      <c r="Z39" s="14">
        <f t="shared" si="9"/>
        <v>0</v>
      </c>
      <c r="AB39" s="88" t="s">
        <v>56</v>
      </c>
      <c r="AC39" s="26" t="str">
        <f t="shared" si="10"/>
        <v/>
      </c>
      <c r="AD39" s="26" t="str">
        <f t="shared" si="10"/>
        <v/>
      </c>
      <c r="AE39" s="26" t="str">
        <f t="shared" si="11"/>
        <v/>
      </c>
      <c r="AF39" s="26" t="str">
        <f t="shared" si="12"/>
        <v/>
      </c>
      <c r="AG39" s="26" t="str">
        <f t="shared" si="13"/>
        <v/>
      </c>
    </row>
    <row r="40" spans="1:33" x14ac:dyDescent="0.25">
      <c r="A40" s="88" t="s">
        <v>57</v>
      </c>
      <c r="B40" s="14">
        <v>1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f t="shared" si="7"/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f t="shared" si="8"/>
        <v>0</v>
      </c>
      <c r="X40" s="14">
        <v>0</v>
      </c>
      <c r="Y40" s="14">
        <v>0</v>
      </c>
      <c r="Z40" s="14">
        <f t="shared" si="9"/>
        <v>0</v>
      </c>
      <c r="AB40" s="88" t="s">
        <v>57</v>
      </c>
      <c r="AC40" s="26">
        <f t="shared" si="10"/>
        <v>1</v>
      </c>
      <c r="AD40" s="26">
        <f t="shared" si="10"/>
        <v>0</v>
      </c>
      <c r="AE40" s="26">
        <f t="shared" si="11"/>
        <v>0</v>
      </c>
      <c r="AF40" s="26">
        <f t="shared" si="12"/>
        <v>0</v>
      </c>
      <c r="AG40" s="26">
        <f t="shared" si="13"/>
        <v>0</v>
      </c>
    </row>
    <row r="41" spans="1:33" x14ac:dyDescent="0.25">
      <c r="A41" s="88" t="s">
        <v>86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f t="shared" si="7"/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f t="shared" si="8"/>
        <v>0</v>
      </c>
      <c r="X41" s="14">
        <v>0</v>
      </c>
      <c r="Y41" s="14">
        <v>0</v>
      </c>
      <c r="Z41" s="14">
        <f t="shared" si="9"/>
        <v>0</v>
      </c>
      <c r="AB41" s="88" t="s">
        <v>86</v>
      </c>
      <c r="AC41" s="26" t="str">
        <f t="shared" si="10"/>
        <v/>
      </c>
      <c r="AD41" s="26" t="str">
        <f t="shared" si="10"/>
        <v/>
      </c>
      <c r="AE41" s="26" t="str">
        <f t="shared" si="11"/>
        <v/>
      </c>
      <c r="AF41" s="26" t="str">
        <f t="shared" si="12"/>
        <v/>
      </c>
      <c r="AG41" s="26" t="str">
        <f t="shared" si="13"/>
        <v/>
      </c>
    </row>
    <row r="42" spans="1:33" x14ac:dyDescent="0.25">
      <c r="A42" s="95" t="s">
        <v>59</v>
      </c>
      <c r="B42" s="96">
        <v>4385</v>
      </c>
      <c r="C42" s="96">
        <v>211</v>
      </c>
      <c r="D42" s="96">
        <v>79</v>
      </c>
      <c r="E42" s="96">
        <v>49</v>
      </c>
      <c r="F42" s="96">
        <v>16</v>
      </c>
      <c r="G42" s="96">
        <v>7</v>
      </c>
      <c r="H42" s="96">
        <v>7</v>
      </c>
      <c r="I42" s="96">
        <v>5</v>
      </c>
      <c r="J42" s="61">
        <f t="shared" si="7"/>
        <v>163</v>
      </c>
      <c r="K42" s="96">
        <v>1</v>
      </c>
      <c r="L42" s="96">
        <v>3</v>
      </c>
      <c r="M42" s="96">
        <v>0</v>
      </c>
      <c r="N42" s="96">
        <v>2</v>
      </c>
      <c r="O42" s="96">
        <v>1</v>
      </c>
      <c r="P42" s="96">
        <v>0</v>
      </c>
      <c r="Q42" s="96">
        <v>0</v>
      </c>
      <c r="R42" s="96">
        <v>1</v>
      </c>
      <c r="S42" s="96">
        <v>0</v>
      </c>
      <c r="T42" s="96">
        <v>0</v>
      </c>
      <c r="U42" s="96">
        <v>0</v>
      </c>
      <c r="V42" s="96">
        <v>0</v>
      </c>
      <c r="W42" s="61">
        <f t="shared" si="8"/>
        <v>8</v>
      </c>
      <c r="X42" s="96">
        <v>4</v>
      </c>
      <c r="Y42" s="96">
        <v>2</v>
      </c>
      <c r="Z42" s="61">
        <f t="shared" si="9"/>
        <v>6</v>
      </c>
      <c r="AB42" s="95" t="s">
        <v>59</v>
      </c>
      <c r="AC42" s="101">
        <f t="shared" si="10"/>
        <v>0.91870940708150006</v>
      </c>
      <c r="AD42" s="101">
        <f t="shared" si="10"/>
        <v>4.4206997695369787E-2</v>
      </c>
      <c r="AE42" s="62">
        <f t="shared" si="11"/>
        <v>3.4150429499266707E-2</v>
      </c>
      <c r="AF42" s="122">
        <f t="shared" si="12"/>
        <v>1.6760946993505132E-3</v>
      </c>
      <c r="AG42" s="122">
        <f t="shared" si="13"/>
        <v>1.257071024512885E-3</v>
      </c>
    </row>
  </sheetData>
  <mergeCells count="4">
    <mergeCell ref="A3:B3"/>
    <mergeCell ref="A24:B24"/>
    <mergeCell ref="AB3:AD3"/>
    <mergeCell ref="AB24:AC24"/>
  </mergeCells>
  <hyperlinks>
    <hyperlink ref="AA1" location="INDICE!A1" display="INDIC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"/>
  <sheetViews>
    <sheetView workbookViewId="0">
      <selection activeCell="AA1" sqref="AA1"/>
    </sheetView>
  </sheetViews>
  <sheetFormatPr baseColWidth="10" defaultRowHeight="15" x14ac:dyDescent="0.25"/>
  <cols>
    <col min="1" max="1" width="23.85546875" customWidth="1"/>
    <col min="4" max="9" width="0" hidden="1" customWidth="1"/>
    <col min="11" max="22" width="0" hidden="1" customWidth="1"/>
    <col min="24" max="25" width="0" hidden="1" customWidth="1"/>
    <col min="28" max="28" width="20" customWidth="1"/>
  </cols>
  <sheetData>
    <row r="1" spans="1:33" x14ac:dyDescent="0.25">
      <c r="Z1" s="2" t="s">
        <v>0</v>
      </c>
      <c r="AA1" s="176" t="s">
        <v>1</v>
      </c>
      <c r="AB1" s="2" t="s">
        <v>216</v>
      </c>
      <c r="AC1" t="s">
        <v>226</v>
      </c>
    </row>
    <row r="2" spans="1:33" ht="18.75" x14ac:dyDescent="0.3">
      <c r="A2" s="94" t="s">
        <v>143</v>
      </c>
    </row>
    <row r="3" spans="1:33" x14ac:dyDescent="0.25">
      <c r="A3" s="310" t="s">
        <v>116</v>
      </c>
      <c r="B3" s="310"/>
      <c r="C3" s="93"/>
      <c r="D3" s="92"/>
      <c r="AB3" s="310" t="s">
        <v>116</v>
      </c>
      <c r="AC3" s="310"/>
      <c r="AD3" s="310"/>
      <c r="AE3" s="92"/>
    </row>
    <row r="4" spans="1:33" ht="15.75" x14ac:dyDescent="0.25">
      <c r="A4" s="97" t="s">
        <v>94</v>
      </c>
      <c r="B4" s="98" t="s">
        <v>117</v>
      </c>
      <c r="C4" s="98" t="s">
        <v>118</v>
      </c>
      <c r="D4" s="98" t="s">
        <v>119</v>
      </c>
      <c r="E4" s="98" t="s">
        <v>120</v>
      </c>
      <c r="F4" s="98" t="s">
        <v>121</v>
      </c>
      <c r="G4" s="98" t="s">
        <v>122</v>
      </c>
      <c r="H4" s="98" t="s">
        <v>123</v>
      </c>
      <c r="I4" s="98" t="s">
        <v>124</v>
      </c>
      <c r="J4" s="99" t="s">
        <v>125</v>
      </c>
      <c r="K4" s="98" t="s">
        <v>126</v>
      </c>
      <c r="L4" s="98" t="s">
        <v>127</v>
      </c>
      <c r="M4" s="98" t="s">
        <v>128</v>
      </c>
      <c r="N4" s="98" t="s">
        <v>129</v>
      </c>
      <c r="O4" s="98" t="s">
        <v>130</v>
      </c>
      <c r="P4" s="98" t="s">
        <v>131</v>
      </c>
      <c r="Q4" s="98" t="s">
        <v>132</v>
      </c>
      <c r="R4" s="98" t="s">
        <v>133</v>
      </c>
      <c r="S4" s="98" t="s">
        <v>134</v>
      </c>
      <c r="T4" s="98" t="s">
        <v>135</v>
      </c>
      <c r="U4" s="98" t="s">
        <v>136</v>
      </c>
      <c r="V4" s="98" t="s">
        <v>137</v>
      </c>
      <c r="W4" s="99" t="s">
        <v>138</v>
      </c>
      <c r="X4" s="98" t="s">
        <v>139</v>
      </c>
      <c r="Y4" s="98" t="s">
        <v>140</v>
      </c>
      <c r="Z4" s="99" t="s">
        <v>141</v>
      </c>
      <c r="AB4" s="97" t="s">
        <v>94</v>
      </c>
      <c r="AC4" s="98" t="s">
        <v>117</v>
      </c>
      <c r="AD4" s="98" t="s">
        <v>118</v>
      </c>
      <c r="AE4" s="100" t="s">
        <v>125</v>
      </c>
      <c r="AF4" s="99" t="s">
        <v>138</v>
      </c>
      <c r="AG4" s="99" t="s">
        <v>141</v>
      </c>
    </row>
    <row r="5" spans="1:33" x14ac:dyDescent="0.25">
      <c r="A5" s="88" t="s">
        <v>49</v>
      </c>
      <c r="B5" s="14">
        <v>234.61</v>
      </c>
      <c r="C5" s="14">
        <v>75.66</v>
      </c>
      <c r="D5" s="14">
        <v>90.93</v>
      </c>
      <c r="E5" s="14">
        <v>65.44</v>
      </c>
      <c r="F5" s="14">
        <v>21.68</v>
      </c>
      <c r="G5" s="14">
        <v>0</v>
      </c>
      <c r="H5" s="14">
        <v>30.44</v>
      </c>
      <c r="I5" s="14">
        <v>38.21</v>
      </c>
      <c r="J5" s="14">
        <f>SUM(D5:I5)</f>
        <v>246.70000000000002</v>
      </c>
      <c r="K5" s="14">
        <v>0</v>
      </c>
      <c r="L5" s="14">
        <v>0</v>
      </c>
      <c r="M5" s="14">
        <v>104.15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95.24</v>
      </c>
      <c r="W5" s="14">
        <f>SUM(K5:V5)</f>
        <v>199.39</v>
      </c>
      <c r="X5" s="14">
        <v>124.63</v>
      </c>
      <c r="Y5" s="14">
        <v>536.6</v>
      </c>
      <c r="Z5" s="14">
        <f>SUM(X5:Y5)</f>
        <v>661.23</v>
      </c>
      <c r="AB5" s="88" t="s">
        <v>49</v>
      </c>
      <c r="AC5" s="26">
        <f>IFERROR(B5/SUM($B5+$C5+$J5+$W5+$Z5),"")</f>
        <v>0.16549919229114199</v>
      </c>
      <c r="AD5" s="26">
        <f>IFERROR(C5/SUM($B5+$C5+$J5+$W5+$Z5),"")</f>
        <v>5.337227265993693E-2</v>
      </c>
      <c r="AE5" s="26">
        <f>IFERROR(J5/SUM($B5+$C5+$J5+$W5+$Z5),"")</f>
        <v>0.17402775132443091</v>
      </c>
      <c r="AF5" s="26">
        <f>IFERROR(W5/SUM($B5+$C5+$J5+$W5+$Z5),"")</f>
        <v>0.14065420890384384</v>
      </c>
      <c r="AG5" s="26">
        <f>IFERROR(Z5/SUM($B5+$C5+$J5+$W5+$Z5),"")</f>
        <v>0.46644657482064628</v>
      </c>
    </row>
    <row r="6" spans="1:33" x14ac:dyDescent="0.25">
      <c r="A6" s="88" t="s">
        <v>50</v>
      </c>
      <c r="B6" s="14">
        <v>215.41</v>
      </c>
      <c r="C6" s="14">
        <v>90.74</v>
      </c>
      <c r="D6" s="14">
        <v>32.229999999999997</v>
      </c>
      <c r="E6" s="14">
        <v>119.32</v>
      </c>
      <c r="F6" s="14">
        <v>41.56</v>
      </c>
      <c r="G6" s="14">
        <v>0</v>
      </c>
      <c r="H6" s="14">
        <v>0</v>
      </c>
      <c r="I6" s="14">
        <v>0</v>
      </c>
      <c r="J6" s="14">
        <f t="shared" ref="J6:J21" si="0">SUM(D6:I6)</f>
        <v>193.10999999999999</v>
      </c>
      <c r="K6" s="14">
        <v>0</v>
      </c>
      <c r="L6" s="14">
        <v>94.25</v>
      </c>
      <c r="M6" s="14">
        <v>0</v>
      </c>
      <c r="N6" s="14">
        <v>0</v>
      </c>
      <c r="O6" s="14">
        <v>61.41</v>
      </c>
      <c r="P6" s="14">
        <v>0</v>
      </c>
      <c r="Q6" s="14">
        <v>70.37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f t="shared" ref="W6:W21" si="1">SUM(K6:V6)</f>
        <v>226.03</v>
      </c>
      <c r="X6" s="14">
        <v>235.21</v>
      </c>
      <c r="Y6" s="14">
        <v>0</v>
      </c>
      <c r="Z6" s="14">
        <f t="shared" ref="Z6:Z21" si="2">SUM(X6:Y6)</f>
        <v>235.21</v>
      </c>
      <c r="AB6" s="88" t="s">
        <v>50</v>
      </c>
      <c r="AC6" s="26">
        <f t="shared" ref="AC6:AD21" si="3">IFERROR(B6/SUM($B6+$C6+$J6+$W6+$Z6),"")</f>
        <v>0.22426861009890681</v>
      </c>
      <c r="AD6" s="26">
        <f t="shared" si="3"/>
        <v>9.4471629359708487E-2</v>
      </c>
      <c r="AE6" s="26">
        <f t="shared" ref="AE6:AE21" si="4">IFERROR(J6/SUM($B6+$C6+$J6+$W6+$Z6),"")</f>
        <v>0.20105153565851117</v>
      </c>
      <c r="AF6" s="26">
        <f t="shared" ref="AF6:AF21" si="5">IFERROR(W6/SUM($B6+$C6+$J6+$W6+$Z6),"")</f>
        <v>0.23532535137948984</v>
      </c>
      <c r="AG6" s="26">
        <f t="shared" ref="AG6:AG21" si="6">IFERROR(Z6/SUM($B6+$C6+$J6+$W6+$Z6),"")</f>
        <v>0.24488287350338367</v>
      </c>
    </row>
    <row r="7" spans="1:33" x14ac:dyDescent="0.25">
      <c r="A7" s="88" t="s">
        <v>63</v>
      </c>
      <c r="B7" s="14">
        <v>0.33</v>
      </c>
      <c r="C7" s="14">
        <v>5.26</v>
      </c>
      <c r="D7" s="14">
        <v>0</v>
      </c>
      <c r="E7" s="14">
        <v>0</v>
      </c>
      <c r="F7" s="14">
        <v>22.93</v>
      </c>
      <c r="G7" s="14">
        <v>0</v>
      </c>
      <c r="H7" s="14">
        <v>0</v>
      </c>
      <c r="I7" s="14">
        <v>0</v>
      </c>
      <c r="J7" s="14">
        <f t="shared" si="0"/>
        <v>22.93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f t="shared" si="1"/>
        <v>0</v>
      </c>
      <c r="X7" s="14">
        <v>0</v>
      </c>
      <c r="Y7" s="14">
        <v>0</v>
      </c>
      <c r="Z7" s="14">
        <f t="shared" si="2"/>
        <v>0</v>
      </c>
      <c r="AB7" s="88" t="s">
        <v>63</v>
      </c>
      <c r="AC7" s="26">
        <f t="shared" si="3"/>
        <v>1.1570827489481067E-2</v>
      </c>
      <c r="AD7" s="26">
        <f t="shared" si="3"/>
        <v>0.1844319775596073</v>
      </c>
      <c r="AE7" s="26">
        <f t="shared" si="4"/>
        <v>0.8039971949509116</v>
      </c>
      <c r="AF7" s="26">
        <f t="shared" si="5"/>
        <v>0</v>
      </c>
      <c r="AG7" s="26">
        <f t="shared" si="6"/>
        <v>0</v>
      </c>
    </row>
    <row r="8" spans="1:33" x14ac:dyDescent="0.25">
      <c r="A8" s="88" t="s">
        <v>60</v>
      </c>
      <c r="B8" s="14">
        <v>238.23</v>
      </c>
      <c r="C8" s="14">
        <v>30.96</v>
      </c>
      <c r="D8" s="14">
        <v>61.04</v>
      </c>
      <c r="E8" s="14">
        <v>16.420000000000002</v>
      </c>
      <c r="F8" s="14">
        <v>22.69</v>
      </c>
      <c r="G8" s="14">
        <v>0</v>
      </c>
      <c r="H8" s="14">
        <v>0</v>
      </c>
      <c r="I8" s="14">
        <v>0</v>
      </c>
      <c r="J8" s="14">
        <f t="shared" si="0"/>
        <v>100.15</v>
      </c>
      <c r="K8" s="14">
        <v>0</v>
      </c>
      <c r="L8" s="14">
        <v>49.65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f t="shared" si="1"/>
        <v>49.65</v>
      </c>
      <c r="X8" s="14">
        <v>0</v>
      </c>
      <c r="Y8" s="14">
        <v>275.25</v>
      </c>
      <c r="Z8" s="14">
        <f t="shared" si="2"/>
        <v>275.25</v>
      </c>
      <c r="AB8" s="88" t="s">
        <v>60</v>
      </c>
      <c r="AC8" s="26">
        <f t="shared" si="3"/>
        <v>0.34315222401474993</v>
      </c>
      <c r="AD8" s="26">
        <f t="shared" si="3"/>
        <v>4.4595528923715141E-2</v>
      </c>
      <c r="AE8" s="26">
        <f t="shared" si="4"/>
        <v>0.14425846969347778</v>
      </c>
      <c r="AF8" s="26">
        <f t="shared" si="5"/>
        <v>7.1517054620880385E-2</v>
      </c>
      <c r="AG8" s="26">
        <f t="shared" si="6"/>
        <v>0.39647672274717677</v>
      </c>
    </row>
    <row r="9" spans="1:33" x14ac:dyDescent="0.25">
      <c r="A9" s="88" t="s">
        <v>53</v>
      </c>
      <c r="B9" s="14">
        <v>192.11</v>
      </c>
      <c r="C9" s="14">
        <v>59.71</v>
      </c>
      <c r="D9" s="14">
        <v>37.56</v>
      </c>
      <c r="E9" s="14">
        <v>17.89</v>
      </c>
      <c r="F9" s="14">
        <v>24.9</v>
      </c>
      <c r="G9" s="14">
        <v>27.54</v>
      </c>
      <c r="H9" s="14">
        <v>0</v>
      </c>
      <c r="I9" s="14">
        <v>0</v>
      </c>
      <c r="J9" s="14">
        <f t="shared" si="0"/>
        <v>107.88999999999999</v>
      </c>
      <c r="K9" s="14">
        <v>0</v>
      </c>
      <c r="L9" s="14">
        <v>0</v>
      </c>
      <c r="M9" s="14">
        <v>50.62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88.22</v>
      </c>
      <c r="U9" s="14">
        <v>0</v>
      </c>
      <c r="V9" s="14">
        <v>0</v>
      </c>
      <c r="W9" s="14">
        <f t="shared" si="1"/>
        <v>138.84</v>
      </c>
      <c r="X9" s="14">
        <v>0</v>
      </c>
      <c r="Y9" s="14">
        <v>0</v>
      </c>
      <c r="Z9" s="14">
        <f t="shared" si="2"/>
        <v>0</v>
      </c>
      <c r="AB9" s="88" t="s">
        <v>53</v>
      </c>
      <c r="AC9" s="26">
        <f t="shared" si="3"/>
        <v>0.38533747868819573</v>
      </c>
      <c r="AD9" s="26">
        <f t="shared" si="3"/>
        <v>0.11976732524320528</v>
      </c>
      <c r="AE9" s="26">
        <f t="shared" si="4"/>
        <v>0.21640758198776447</v>
      </c>
      <c r="AF9" s="26">
        <f t="shared" si="5"/>
        <v>0.27848761408083439</v>
      </c>
      <c r="AG9" s="26">
        <f t="shared" si="6"/>
        <v>0</v>
      </c>
    </row>
    <row r="10" spans="1:33" x14ac:dyDescent="0.25">
      <c r="A10" s="88" t="s">
        <v>52</v>
      </c>
      <c r="B10" s="14">
        <v>541.80999999999995</v>
      </c>
      <c r="C10" s="14">
        <v>243.1</v>
      </c>
      <c r="D10" s="14">
        <v>187.15</v>
      </c>
      <c r="E10" s="14">
        <v>85.26</v>
      </c>
      <c r="F10" s="14">
        <v>90.52</v>
      </c>
      <c r="G10" s="14">
        <v>82.02</v>
      </c>
      <c r="H10" s="14">
        <v>95.87</v>
      </c>
      <c r="I10" s="14">
        <v>74.459999999999994</v>
      </c>
      <c r="J10" s="14">
        <f t="shared" si="0"/>
        <v>615.28</v>
      </c>
      <c r="K10" s="14">
        <v>43.92</v>
      </c>
      <c r="L10" s="14">
        <v>46.23</v>
      </c>
      <c r="M10" s="14">
        <v>0</v>
      </c>
      <c r="N10" s="14">
        <v>0</v>
      </c>
      <c r="O10" s="14">
        <v>127.03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f t="shared" si="1"/>
        <v>217.18</v>
      </c>
      <c r="X10" s="14">
        <v>0</v>
      </c>
      <c r="Y10" s="14">
        <v>0</v>
      </c>
      <c r="Z10" s="14">
        <f t="shared" si="2"/>
        <v>0</v>
      </c>
      <c r="AB10" s="88" t="s">
        <v>52</v>
      </c>
      <c r="AC10" s="26">
        <f t="shared" si="3"/>
        <v>0.33499446632495961</v>
      </c>
      <c r="AD10" s="26">
        <f t="shared" si="3"/>
        <v>0.15030574327457538</v>
      </c>
      <c r="AE10" s="26">
        <f t="shared" si="4"/>
        <v>0.38042006467289485</v>
      </c>
      <c r="AF10" s="26">
        <f t="shared" si="5"/>
        <v>0.13427972572757005</v>
      </c>
      <c r="AG10" s="26">
        <f t="shared" si="6"/>
        <v>0</v>
      </c>
    </row>
    <row r="11" spans="1:33" x14ac:dyDescent="0.25">
      <c r="A11" s="88" t="s">
        <v>65</v>
      </c>
      <c r="B11" s="14">
        <v>12.75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f t="shared" si="0"/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f t="shared" si="1"/>
        <v>0</v>
      </c>
      <c r="X11" s="14">
        <v>0</v>
      </c>
      <c r="Y11" s="14">
        <v>0</v>
      </c>
      <c r="Z11" s="14">
        <f t="shared" si="2"/>
        <v>0</v>
      </c>
      <c r="AB11" s="88" t="s">
        <v>65</v>
      </c>
      <c r="AC11" s="26">
        <f t="shared" si="3"/>
        <v>1</v>
      </c>
      <c r="AD11" s="26">
        <f t="shared" si="3"/>
        <v>0</v>
      </c>
      <c r="AE11" s="26">
        <f t="shared" si="4"/>
        <v>0</v>
      </c>
      <c r="AF11" s="26">
        <f t="shared" si="5"/>
        <v>0</v>
      </c>
      <c r="AG11" s="26">
        <f t="shared" si="6"/>
        <v>0</v>
      </c>
    </row>
    <row r="12" spans="1:33" x14ac:dyDescent="0.25">
      <c r="A12" s="88" t="s">
        <v>51</v>
      </c>
      <c r="B12" s="14">
        <v>341.51</v>
      </c>
      <c r="C12" s="14">
        <v>168.82</v>
      </c>
      <c r="D12" s="14">
        <v>137.53</v>
      </c>
      <c r="E12" s="14">
        <v>70.930000000000007</v>
      </c>
      <c r="F12" s="14">
        <v>41.15</v>
      </c>
      <c r="G12" s="14">
        <v>52.61</v>
      </c>
      <c r="H12" s="14">
        <v>31.91</v>
      </c>
      <c r="I12" s="14">
        <v>35.79</v>
      </c>
      <c r="J12" s="14">
        <f t="shared" si="0"/>
        <v>369.92000000000007</v>
      </c>
      <c r="K12" s="14">
        <v>83.87</v>
      </c>
      <c r="L12" s="14">
        <v>49.62</v>
      </c>
      <c r="M12" s="14">
        <v>51.94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f t="shared" si="1"/>
        <v>185.43</v>
      </c>
      <c r="X12" s="14">
        <v>0</v>
      </c>
      <c r="Y12" s="14">
        <v>0</v>
      </c>
      <c r="Z12" s="14">
        <f t="shared" si="2"/>
        <v>0</v>
      </c>
      <c r="AB12" s="88" t="s">
        <v>51</v>
      </c>
      <c r="AC12" s="26">
        <f t="shared" si="3"/>
        <v>0.32046205239846853</v>
      </c>
      <c r="AD12" s="26">
        <f t="shared" si="3"/>
        <v>0.15841528413782746</v>
      </c>
      <c r="AE12" s="26">
        <f t="shared" si="4"/>
        <v>0.34712108700548011</v>
      </c>
      <c r="AF12" s="26">
        <f t="shared" si="5"/>
        <v>0.17400157645822387</v>
      </c>
      <c r="AG12" s="26">
        <f t="shared" si="6"/>
        <v>0</v>
      </c>
    </row>
    <row r="13" spans="1:33" x14ac:dyDescent="0.25">
      <c r="A13" s="88" t="s">
        <v>54</v>
      </c>
      <c r="B13" s="14">
        <v>69.08</v>
      </c>
      <c r="C13" s="14">
        <v>123.8</v>
      </c>
      <c r="D13" s="14">
        <v>120.69</v>
      </c>
      <c r="E13" s="14">
        <v>37.090000000000003</v>
      </c>
      <c r="F13" s="14">
        <v>23.13</v>
      </c>
      <c r="G13" s="14">
        <v>81.19</v>
      </c>
      <c r="H13" s="14">
        <v>67</v>
      </c>
      <c r="I13" s="14">
        <v>37.51</v>
      </c>
      <c r="J13" s="14">
        <f t="shared" si="0"/>
        <v>366.61</v>
      </c>
      <c r="K13" s="14">
        <v>41.72</v>
      </c>
      <c r="L13" s="14">
        <v>0</v>
      </c>
      <c r="M13" s="14">
        <v>51.35</v>
      </c>
      <c r="N13" s="14">
        <v>57.29</v>
      </c>
      <c r="O13" s="14">
        <v>60.52</v>
      </c>
      <c r="P13" s="14">
        <v>0</v>
      </c>
      <c r="Q13" s="14">
        <v>0</v>
      </c>
      <c r="R13" s="14">
        <v>78.98</v>
      </c>
      <c r="S13" s="14">
        <v>161.6</v>
      </c>
      <c r="T13" s="14">
        <v>0</v>
      </c>
      <c r="U13" s="14">
        <v>0</v>
      </c>
      <c r="V13" s="14">
        <v>0</v>
      </c>
      <c r="W13" s="14">
        <f t="shared" si="1"/>
        <v>451.46000000000004</v>
      </c>
      <c r="X13" s="14">
        <v>108.64</v>
      </c>
      <c r="Y13" s="14">
        <v>1065.3800000000001</v>
      </c>
      <c r="Z13" s="14">
        <f t="shared" si="2"/>
        <v>1174.0200000000002</v>
      </c>
      <c r="AB13" s="88" t="s">
        <v>54</v>
      </c>
      <c r="AC13" s="26">
        <f t="shared" si="3"/>
        <v>3.1615994727616392E-2</v>
      </c>
      <c r="AD13" s="26">
        <f t="shared" si="3"/>
        <v>5.6659816839590468E-2</v>
      </c>
      <c r="AE13" s="26">
        <f t="shared" si="4"/>
        <v>0.16778720073959824</v>
      </c>
      <c r="AF13" s="26">
        <f t="shared" si="5"/>
        <v>0.20662068586754051</v>
      </c>
      <c r="AG13" s="26">
        <f t="shared" si="6"/>
        <v>0.53731630182565437</v>
      </c>
    </row>
    <row r="14" spans="1:33" x14ac:dyDescent="0.25">
      <c r="A14" s="88" t="s">
        <v>67</v>
      </c>
      <c r="B14" s="14">
        <v>16.54</v>
      </c>
      <c r="C14" s="14">
        <v>5.1100000000000003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f t="shared" si="0"/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f t="shared" si="1"/>
        <v>0</v>
      </c>
      <c r="X14" s="14">
        <v>0</v>
      </c>
      <c r="Y14" s="14">
        <v>0</v>
      </c>
      <c r="Z14" s="14">
        <f t="shared" si="2"/>
        <v>0</v>
      </c>
      <c r="AB14" s="88" t="s">
        <v>67</v>
      </c>
      <c r="AC14" s="26">
        <f t="shared" si="3"/>
        <v>0.76397228637413395</v>
      </c>
      <c r="AD14" s="26">
        <f t="shared" si="3"/>
        <v>0.23602771362586608</v>
      </c>
      <c r="AE14" s="26">
        <f t="shared" si="4"/>
        <v>0</v>
      </c>
      <c r="AF14" s="26">
        <f t="shared" si="5"/>
        <v>0</v>
      </c>
      <c r="AG14" s="26">
        <f t="shared" si="6"/>
        <v>0</v>
      </c>
    </row>
    <row r="15" spans="1:33" x14ac:dyDescent="0.25">
      <c r="A15" s="88" t="s">
        <v>75</v>
      </c>
      <c r="B15" s="14">
        <v>4.8849999999999998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f t="shared" si="0"/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f t="shared" si="1"/>
        <v>0</v>
      </c>
      <c r="X15" s="14">
        <v>0</v>
      </c>
      <c r="Y15" s="14">
        <v>0</v>
      </c>
      <c r="Z15" s="14">
        <f t="shared" si="2"/>
        <v>0</v>
      </c>
      <c r="AB15" s="88" t="s">
        <v>75</v>
      </c>
      <c r="AC15" s="26">
        <f t="shared" si="3"/>
        <v>1</v>
      </c>
      <c r="AD15" s="26">
        <f t="shared" si="3"/>
        <v>0</v>
      </c>
      <c r="AE15" s="26">
        <f t="shared" si="4"/>
        <v>0</v>
      </c>
      <c r="AF15" s="26">
        <f t="shared" si="5"/>
        <v>0</v>
      </c>
      <c r="AG15" s="26">
        <f t="shared" si="6"/>
        <v>0</v>
      </c>
    </row>
    <row r="16" spans="1:33" x14ac:dyDescent="0.25">
      <c r="A16" s="88" t="s">
        <v>55</v>
      </c>
      <c r="B16" s="14">
        <v>99.668000000000006</v>
      </c>
      <c r="C16" s="14">
        <v>11.66</v>
      </c>
      <c r="D16" s="14">
        <v>0</v>
      </c>
      <c r="E16" s="14">
        <v>0</v>
      </c>
      <c r="F16" s="14">
        <v>24.41</v>
      </c>
      <c r="G16" s="14">
        <v>0</v>
      </c>
      <c r="H16" s="14">
        <v>0</v>
      </c>
      <c r="I16" s="14">
        <v>0</v>
      </c>
      <c r="J16" s="14">
        <f t="shared" si="0"/>
        <v>24.41</v>
      </c>
      <c r="K16" s="14">
        <v>42.49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f t="shared" si="1"/>
        <v>42.49</v>
      </c>
      <c r="X16" s="14">
        <v>0</v>
      </c>
      <c r="Y16" s="14">
        <v>0</v>
      </c>
      <c r="Z16" s="14">
        <f t="shared" si="2"/>
        <v>0</v>
      </c>
      <c r="AB16" s="88" t="s">
        <v>55</v>
      </c>
      <c r="AC16" s="26">
        <f t="shared" si="3"/>
        <v>0.55921628475884821</v>
      </c>
      <c r="AD16" s="26">
        <f t="shared" si="3"/>
        <v>6.5421819242767687E-2</v>
      </c>
      <c r="AE16" s="26">
        <f t="shared" si="4"/>
        <v>0.13695940031869291</v>
      </c>
      <c r="AF16" s="26">
        <f t="shared" si="5"/>
        <v>0.23840249567969118</v>
      </c>
      <c r="AG16" s="26">
        <f t="shared" si="6"/>
        <v>0</v>
      </c>
    </row>
    <row r="17" spans="1:33" x14ac:dyDescent="0.25">
      <c r="A17" s="88" t="s">
        <v>80</v>
      </c>
      <c r="B17" s="14">
        <v>6.47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f t="shared" si="0"/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f t="shared" si="1"/>
        <v>0</v>
      </c>
      <c r="X17" s="14">
        <v>0</v>
      </c>
      <c r="Y17" s="14">
        <v>0</v>
      </c>
      <c r="Z17" s="14">
        <f t="shared" si="2"/>
        <v>0</v>
      </c>
      <c r="AB17" s="88" t="s">
        <v>80</v>
      </c>
      <c r="AC17" s="26">
        <f t="shared" si="3"/>
        <v>1</v>
      </c>
      <c r="AD17" s="26">
        <f t="shared" si="3"/>
        <v>0</v>
      </c>
      <c r="AE17" s="26">
        <f t="shared" si="4"/>
        <v>0</v>
      </c>
      <c r="AF17" s="26">
        <f t="shared" si="5"/>
        <v>0</v>
      </c>
      <c r="AG17" s="26">
        <f t="shared" si="6"/>
        <v>0</v>
      </c>
    </row>
    <row r="18" spans="1:33" x14ac:dyDescent="0.25">
      <c r="A18" s="88" t="s">
        <v>56</v>
      </c>
      <c r="B18" s="14">
        <v>38.69</v>
      </c>
      <c r="C18" s="14">
        <v>24.85</v>
      </c>
      <c r="D18" s="14">
        <v>10.220000000000001</v>
      </c>
      <c r="E18" s="14">
        <v>38.520000000000003</v>
      </c>
      <c r="F18" s="14">
        <v>0</v>
      </c>
      <c r="G18" s="14">
        <v>0</v>
      </c>
      <c r="H18" s="14">
        <v>0</v>
      </c>
      <c r="I18" s="14">
        <v>0</v>
      </c>
      <c r="J18" s="14">
        <f t="shared" si="0"/>
        <v>48.74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f t="shared" si="1"/>
        <v>0</v>
      </c>
      <c r="X18" s="14">
        <v>0</v>
      </c>
      <c r="Y18" s="14">
        <v>0</v>
      </c>
      <c r="Z18" s="14">
        <f t="shared" si="2"/>
        <v>0</v>
      </c>
      <c r="AB18" s="88" t="s">
        <v>56</v>
      </c>
      <c r="AC18" s="26">
        <f t="shared" si="3"/>
        <v>0.34458496615603845</v>
      </c>
      <c r="AD18" s="26">
        <f t="shared" si="3"/>
        <v>0.22132169576059851</v>
      </c>
      <c r="AE18" s="26">
        <f t="shared" si="4"/>
        <v>0.43409333808336303</v>
      </c>
      <c r="AF18" s="26">
        <f t="shared" si="5"/>
        <v>0</v>
      </c>
      <c r="AG18" s="26">
        <f t="shared" si="6"/>
        <v>0</v>
      </c>
    </row>
    <row r="19" spans="1:33" x14ac:dyDescent="0.25">
      <c r="A19" s="88" t="s">
        <v>57</v>
      </c>
      <c r="B19" s="14">
        <v>67.38</v>
      </c>
      <c r="C19" s="14">
        <v>39.68</v>
      </c>
      <c r="D19" s="14">
        <v>39.57</v>
      </c>
      <c r="E19" s="14">
        <v>0</v>
      </c>
      <c r="F19" s="14">
        <v>21.07</v>
      </c>
      <c r="G19" s="14">
        <v>0</v>
      </c>
      <c r="H19" s="14">
        <v>0</v>
      </c>
      <c r="I19" s="14">
        <v>0</v>
      </c>
      <c r="J19" s="14">
        <f t="shared" si="0"/>
        <v>60.64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f t="shared" si="1"/>
        <v>0</v>
      </c>
      <c r="X19" s="14">
        <v>0</v>
      </c>
      <c r="Y19" s="14">
        <v>0</v>
      </c>
      <c r="Z19" s="14">
        <f t="shared" si="2"/>
        <v>0</v>
      </c>
      <c r="AB19" s="88" t="s">
        <v>57</v>
      </c>
      <c r="AC19" s="26">
        <f t="shared" si="3"/>
        <v>0.40178890876565293</v>
      </c>
      <c r="AD19" s="26">
        <f t="shared" si="3"/>
        <v>0.23661299940369709</v>
      </c>
      <c r="AE19" s="26">
        <f t="shared" si="4"/>
        <v>0.36159809183065</v>
      </c>
      <c r="AF19" s="26">
        <f t="shared" si="5"/>
        <v>0</v>
      </c>
      <c r="AG19" s="26">
        <f t="shared" si="6"/>
        <v>0</v>
      </c>
    </row>
    <row r="20" spans="1:33" x14ac:dyDescent="0.25">
      <c r="A20" s="88" t="s">
        <v>86</v>
      </c>
      <c r="B20" s="14">
        <v>88.611500000000007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f t="shared" si="0"/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f t="shared" si="1"/>
        <v>0</v>
      </c>
      <c r="X20" s="14">
        <v>0</v>
      </c>
      <c r="Y20" s="14">
        <v>0</v>
      </c>
      <c r="Z20" s="14">
        <f t="shared" si="2"/>
        <v>0</v>
      </c>
      <c r="AB20" s="88" t="s">
        <v>86</v>
      </c>
      <c r="AC20" s="26">
        <f t="shared" si="3"/>
        <v>1</v>
      </c>
      <c r="AD20" s="26">
        <f t="shared" si="3"/>
        <v>0</v>
      </c>
      <c r="AE20" s="26">
        <f t="shared" si="4"/>
        <v>0</v>
      </c>
      <c r="AF20" s="26">
        <f t="shared" si="5"/>
        <v>0</v>
      </c>
      <c r="AG20" s="26">
        <f t="shared" si="6"/>
        <v>0</v>
      </c>
    </row>
    <row r="21" spans="1:33" x14ac:dyDescent="0.25">
      <c r="A21" s="95" t="s">
        <v>59</v>
      </c>
      <c r="B21" s="96">
        <v>2168.0844999999899</v>
      </c>
      <c r="C21" s="96">
        <v>879.35</v>
      </c>
      <c r="D21" s="96">
        <v>716.92</v>
      </c>
      <c r="E21" s="96">
        <v>450.87</v>
      </c>
      <c r="F21" s="96">
        <v>334.04</v>
      </c>
      <c r="G21" s="96">
        <v>243.36</v>
      </c>
      <c r="H21" s="96">
        <v>225.22</v>
      </c>
      <c r="I21" s="96">
        <v>185.97</v>
      </c>
      <c r="J21" s="61">
        <f t="shared" si="0"/>
        <v>2156.38</v>
      </c>
      <c r="K21" s="96">
        <v>212</v>
      </c>
      <c r="L21" s="96">
        <v>239.75</v>
      </c>
      <c r="M21" s="96">
        <v>258.06</v>
      </c>
      <c r="N21" s="96">
        <v>57.29</v>
      </c>
      <c r="O21" s="96">
        <v>248.96</v>
      </c>
      <c r="P21" s="96">
        <v>0</v>
      </c>
      <c r="Q21" s="96">
        <v>70.37</v>
      </c>
      <c r="R21" s="96">
        <v>78.98</v>
      </c>
      <c r="S21" s="96">
        <v>161.6</v>
      </c>
      <c r="T21" s="96">
        <v>88.22</v>
      </c>
      <c r="U21" s="96">
        <v>0</v>
      </c>
      <c r="V21" s="96">
        <v>95.24</v>
      </c>
      <c r="W21" s="61">
        <f t="shared" si="1"/>
        <v>1510.4699999999998</v>
      </c>
      <c r="X21" s="96">
        <v>468.48</v>
      </c>
      <c r="Y21" s="96">
        <v>1877.23</v>
      </c>
      <c r="Z21" s="61">
        <f t="shared" si="2"/>
        <v>2345.71</v>
      </c>
      <c r="AB21" s="95" t="s">
        <v>59</v>
      </c>
      <c r="AC21" s="101">
        <f t="shared" si="3"/>
        <v>0.23930307021709477</v>
      </c>
      <c r="AD21" s="101">
        <f t="shared" si="3"/>
        <v>9.7058557817005411E-2</v>
      </c>
      <c r="AE21" s="62">
        <f t="shared" si="4"/>
        <v>0.23801118201561849</v>
      </c>
      <c r="AF21" s="62">
        <f t="shared" si="5"/>
        <v>0.16671864425524779</v>
      </c>
      <c r="AG21" s="62">
        <f t="shared" si="6"/>
        <v>0.25890854569503358</v>
      </c>
    </row>
    <row r="24" spans="1:33" x14ac:dyDescent="0.25">
      <c r="A24" s="310" t="s">
        <v>147</v>
      </c>
      <c r="B24" s="310"/>
      <c r="C24" s="93"/>
      <c r="D24" s="92"/>
      <c r="AB24" s="310" t="s">
        <v>147</v>
      </c>
      <c r="AC24" s="310"/>
    </row>
    <row r="25" spans="1:33" ht="15.75" x14ac:dyDescent="0.25">
      <c r="A25" s="97" t="s">
        <v>94</v>
      </c>
      <c r="B25" s="98" t="s">
        <v>117</v>
      </c>
      <c r="C25" s="98" t="s">
        <v>118</v>
      </c>
      <c r="D25" s="98" t="s">
        <v>119</v>
      </c>
      <c r="E25" s="98" t="s">
        <v>120</v>
      </c>
      <c r="F25" s="98" t="s">
        <v>121</v>
      </c>
      <c r="G25" s="98" t="s">
        <v>122</v>
      </c>
      <c r="H25" s="98" t="s">
        <v>123</v>
      </c>
      <c r="I25" s="98" t="s">
        <v>124</v>
      </c>
      <c r="J25" s="99" t="s">
        <v>125</v>
      </c>
      <c r="K25" s="98" t="s">
        <v>126</v>
      </c>
      <c r="L25" s="98" t="s">
        <v>127</v>
      </c>
      <c r="M25" s="98" t="s">
        <v>128</v>
      </c>
      <c r="N25" s="98" t="s">
        <v>129</v>
      </c>
      <c r="O25" s="98" t="s">
        <v>130</v>
      </c>
      <c r="P25" s="98" t="s">
        <v>131</v>
      </c>
      <c r="Q25" s="98" t="s">
        <v>132</v>
      </c>
      <c r="R25" s="98" t="s">
        <v>133</v>
      </c>
      <c r="S25" s="98" t="s">
        <v>134</v>
      </c>
      <c r="T25" s="98" t="s">
        <v>135</v>
      </c>
      <c r="U25" s="98" t="s">
        <v>136</v>
      </c>
      <c r="V25" s="98" t="s">
        <v>137</v>
      </c>
      <c r="W25" s="99" t="s">
        <v>138</v>
      </c>
      <c r="X25" s="98" t="s">
        <v>139</v>
      </c>
      <c r="Y25" s="98" t="s">
        <v>140</v>
      </c>
      <c r="Z25" s="99" t="s">
        <v>141</v>
      </c>
      <c r="AB25" s="97" t="s">
        <v>94</v>
      </c>
      <c r="AC25" s="98" t="s">
        <v>117</v>
      </c>
      <c r="AD25" s="98" t="s">
        <v>118</v>
      </c>
      <c r="AE25" s="100" t="s">
        <v>125</v>
      </c>
      <c r="AF25" s="99" t="s">
        <v>138</v>
      </c>
      <c r="AG25" s="99" t="s">
        <v>141</v>
      </c>
    </row>
    <row r="26" spans="1:33" x14ac:dyDescent="0.25">
      <c r="A26" s="88" t="s">
        <v>49</v>
      </c>
      <c r="B26" s="14">
        <v>221</v>
      </c>
      <c r="C26" s="14">
        <v>11</v>
      </c>
      <c r="D26" s="14">
        <v>7</v>
      </c>
      <c r="E26" s="14">
        <v>4</v>
      </c>
      <c r="F26" s="14">
        <v>1</v>
      </c>
      <c r="G26" s="14">
        <v>0</v>
      </c>
      <c r="H26" s="14">
        <v>1</v>
      </c>
      <c r="I26" s="14">
        <v>1</v>
      </c>
      <c r="J26" s="14">
        <f>SUM(D26:I26)</f>
        <v>14</v>
      </c>
      <c r="K26" s="14">
        <v>0</v>
      </c>
      <c r="L26" s="14">
        <v>0</v>
      </c>
      <c r="M26" s="14">
        <v>2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1</v>
      </c>
      <c r="W26" s="14">
        <f>SUM(K26:V26)</f>
        <v>3</v>
      </c>
      <c r="X26" s="14">
        <v>1</v>
      </c>
      <c r="Y26" s="14">
        <v>2</v>
      </c>
      <c r="Z26" s="14">
        <f>SUM(X26:Y26)</f>
        <v>3</v>
      </c>
      <c r="AB26" s="88" t="s">
        <v>49</v>
      </c>
      <c r="AC26" s="26">
        <f>IFERROR(B26/SUM($B26+$C26+$J26+$W26+$Z26),"")</f>
        <v>0.87698412698412698</v>
      </c>
      <c r="AD26" s="26">
        <f>IFERROR(C26/SUM($B26+$C26+$J26+$W26+$Z26),"")</f>
        <v>4.3650793650793648E-2</v>
      </c>
      <c r="AE26" s="26">
        <f>IFERROR(J26/SUM($B26+$C26+$J26+$W26+$Z26),"")</f>
        <v>5.5555555555555552E-2</v>
      </c>
      <c r="AF26" s="26">
        <f>IFERROR(W26/SUM($B26+$C26+$J26+$W26+$Z26),"")</f>
        <v>1.1904761904761904E-2</v>
      </c>
      <c r="AG26" s="26">
        <f>IFERROR(Z26/SUM($B26+$C26+$J26+$W26+$Z26),"")</f>
        <v>1.1904761904761904E-2</v>
      </c>
    </row>
    <row r="27" spans="1:33" x14ac:dyDescent="0.25">
      <c r="A27" s="88" t="s">
        <v>50</v>
      </c>
      <c r="B27" s="14">
        <v>341</v>
      </c>
      <c r="C27" s="14">
        <v>13</v>
      </c>
      <c r="D27" s="14">
        <v>3</v>
      </c>
      <c r="E27" s="14">
        <v>7</v>
      </c>
      <c r="F27" s="14">
        <v>2</v>
      </c>
      <c r="G27" s="14">
        <v>0</v>
      </c>
      <c r="H27" s="14">
        <v>0</v>
      </c>
      <c r="I27" s="14">
        <v>0</v>
      </c>
      <c r="J27" s="14">
        <f t="shared" ref="J27:J42" si="7">SUM(D27:I27)</f>
        <v>12</v>
      </c>
      <c r="K27" s="14">
        <v>0</v>
      </c>
      <c r="L27" s="14">
        <v>2</v>
      </c>
      <c r="M27" s="14">
        <v>0</v>
      </c>
      <c r="N27" s="14">
        <v>0</v>
      </c>
      <c r="O27" s="14">
        <v>1</v>
      </c>
      <c r="P27" s="14">
        <v>0</v>
      </c>
      <c r="Q27" s="14">
        <v>1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f t="shared" ref="W27:W42" si="8">SUM(K27:V27)</f>
        <v>4</v>
      </c>
      <c r="X27" s="14">
        <v>2</v>
      </c>
      <c r="Y27" s="14">
        <v>0</v>
      </c>
      <c r="Z27" s="14">
        <f t="shared" ref="Z27:Z42" si="9">SUM(X27:Y27)</f>
        <v>2</v>
      </c>
      <c r="AB27" s="88" t="s">
        <v>50</v>
      </c>
      <c r="AC27" s="26">
        <f t="shared" ref="AC27:AC42" si="10">IFERROR(B27/SUM($B27+$C27+$J27+$W27+$Z27),"")</f>
        <v>0.91666666666666663</v>
      </c>
      <c r="AD27" s="26">
        <f t="shared" ref="AD27:AD42" si="11">IFERROR(C27/SUM($B27+$C27+$J27+$W27+$Z27),"")</f>
        <v>3.4946236559139782E-2</v>
      </c>
      <c r="AE27" s="26">
        <f t="shared" ref="AE27:AE42" si="12">IFERROR(J27/SUM($B27+$C27+$J27+$W27+$Z27),"")</f>
        <v>3.2258064516129031E-2</v>
      </c>
      <c r="AF27" s="26">
        <f t="shared" ref="AF27:AF42" si="13">IFERROR(W27/SUM($B27+$C27+$J27+$W27+$Z27),"")</f>
        <v>1.0752688172043012E-2</v>
      </c>
      <c r="AG27" s="26">
        <f t="shared" ref="AG27:AG42" si="14">IFERROR(Z27/SUM($B27+$C27+$J27+$W27+$Z27),"")</f>
        <v>5.3763440860215058E-3</v>
      </c>
    </row>
    <row r="28" spans="1:33" x14ac:dyDescent="0.25">
      <c r="A28" s="88" t="s">
        <v>63</v>
      </c>
      <c r="B28" s="14">
        <v>2</v>
      </c>
      <c r="C28" s="14">
        <v>1</v>
      </c>
      <c r="D28" s="14">
        <v>0</v>
      </c>
      <c r="E28" s="14">
        <v>0</v>
      </c>
      <c r="F28" s="14">
        <v>1</v>
      </c>
      <c r="G28" s="14">
        <v>0</v>
      </c>
      <c r="H28" s="14">
        <v>0</v>
      </c>
      <c r="I28" s="14">
        <v>0</v>
      </c>
      <c r="J28" s="14">
        <f t="shared" si="7"/>
        <v>1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f t="shared" si="8"/>
        <v>0</v>
      </c>
      <c r="X28" s="14">
        <v>0</v>
      </c>
      <c r="Y28" s="14">
        <v>0</v>
      </c>
      <c r="Z28" s="14">
        <f t="shared" si="9"/>
        <v>0</v>
      </c>
      <c r="AB28" s="88" t="s">
        <v>63</v>
      </c>
      <c r="AC28" s="26">
        <f t="shared" si="10"/>
        <v>0.5</v>
      </c>
      <c r="AD28" s="26">
        <f t="shared" si="11"/>
        <v>0.25</v>
      </c>
      <c r="AE28" s="26">
        <f t="shared" si="12"/>
        <v>0.25</v>
      </c>
      <c r="AF28" s="26">
        <f t="shared" si="13"/>
        <v>0</v>
      </c>
      <c r="AG28" s="26">
        <f t="shared" si="14"/>
        <v>0</v>
      </c>
    </row>
    <row r="29" spans="1:33" x14ac:dyDescent="0.25">
      <c r="A29" s="88" t="s">
        <v>60</v>
      </c>
      <c r="B29" s="14">
        <v>397</v>
      </c>
      <c r="C29" s="14">
        <v>5</v>
      </c>
      <c r="D29" s="14">
        <v>5</v>
      </c>
      <c r="E29" s="14">
        <v>1</v>
      </c>
      <c r="F29" s="14">
        <v>1</v>
      </c>
      <c r="G29" s="14">
        <v>0</v>
      </c>
      <c r="H29" s="14">
        <v>0</v>
      </c>
      <c r="I29" s="14">
        <v>0</v>
      </c>
      <c r="J29" s="14">
        <f t="shared" si="7"/>
        <v>7</v>
      </c>
      <c r="K29" s="14">
        <v>0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f t="shared" si="8"/>
        <v>1</v>
      </c>
      <c r="X29" s="14">
        <v>0</v>
      </c>
      <c r="Y29" s="14">
        <v>1</v>
      </c>
      <c r="Z29" s="14">
        <f t="shared" si="9"/>
        <v>1</v>
      </c>
      <c r="AB29" s="88" t="s">
        <v>60</v>
      </c>
      <c r="AC29" s="26">
        <f t="shared" si="10"/>
        <v>0.96593673965936744</v>
      </c>
      <c r="AD29" s="26">
        <f t="shared" si="11"/>
        <v>1.2165450121654502E-2</v>
      </c>
      <c r="AE29" s="26">
        <f t="shared" si="12"/>
        <v>1.7031630170316302E-2</v>
      </c>
      <c r="AF29" s="26">
        <f t="shared" si="13"/>
        <v>2.4330900243309003E-3</v>
      </c>
      <c r="AG29" s="26">
        <f t="shared" si="14"/>
        <v>2.4330900243309003E-3</v>
      </c>
    </row>
    <row r="30" spans="1:33" x14ac:dyDescent="0.25">
      <c r="A30" s="88" t="s">
        <v>53</v>
      </c>
      <c r="B30" s="14">
        <v>399</v>
      </c>
      <c r="C30" s="14">
        <v>8</v>
      </c>
      <c r="D30" s="14">
        <v>3</v>
      </c>
      <c r="E30" s="14">
        <v>1</v>
      </c>
      <c r="F30" s="14">
        <v>1</v>
      </c>
      <c r="G30" s="14">
        <v>1</v>
      </c>
      <c r="H30" s="14">
        <v>0</v>
      </c>
      <c r="I30" s="14">
        <v>0</v>
      </c>
      <c r="J30" s="14">
        <f t="shared" si="7"/>
        <v>6</v>
      </c>
      <c r="K30" s="14">
        <v>0</v>
      </c>
      <c r="L30" s="14">
        <v>0</v>
      </c>
      <c r="M30" s="14">
        <v>1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1</v>
      </c>
      <c r="U30" s="14">
        <v>0</v>
      </c>
      <c r="V30" s="14">
        <v>0</v>
      </c>
      <c r="W30" s="14">
        <f t="shared" si="8"/>
        <v>2</v>
      </c>
      <c r="X30" s="14">
        <v>0</v>
      </c>
      <c r="Y30" s="14">
        <v>0</v>
      </c>
      <c r="Z30" s="14">
        <f t="shared" si="9"/>
        <v>0</v>
      </c>
      <c r="AB30" s="88" t="s">
        <v>53</v>
      </c>
      <c r="AC30" s="26">
        <f t="shared" si="10"/>
        <v>0.96144578313253015</v>
      </c>
      <c r="AD30" s="26">
        <f t="shared" si="11"/>
        <v>1.9277108433734941E-2</v>
      </c>
      <c r="AE30" s="26">
        <f t="shared" si="12"/>
        <v>1.4457831325301205E-2</v>
      </c>
      <c r="AF30" s="26">
        <f t="shared" si="13"/>
        <v>4.8192771084337354E-3</v>
      </c>
      <c r="AG30" s="26">
        <f t="shared" si="14"/>
        <v>0</v>
      </c>
    </row>
    <row r="31" spans="1:33" x14ac:dyDescent="0.25">
      <c r="A31" s="88" t="s">
        <v>52</v>
      </c>
      <c r="B31" s="14">
        <v>627</v>
      </c>
      <c r="C31" s="14">
        <v>35</v>
      </c>
      <c r="D31" s="14">
        <v>15</v>
      </c>
      <c r="E31" s="14">
        <v>5</v>
      </c>
      <c r="F31" s="14">
        <v>4</v>
      </c>
      <c r="G31" s="14">
        <v>3</v>
      </c>
      <c r="H31" s="14">
        <v>3</v>
      </c>
      <c r="I31" s="14">
        <v>2</v>
      </c>
      <c r="J31" s="14">
        <f t="shared" si="7"/>
        <v>32</v>
      </c>
      <c r="K31" s="14">
        <v>1</v>
      </c>
      <c r="L31" s="14">
        <v>1</v>
      </c>
      <c r="M31" s="14">
        <v>0</v>
      </c>
      <c r="N31" s="14">
        <v>0</v>
      </c>
      <c r="O31" s="14">
        <v>2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f t="shared" si="8"/>
        <v>4</v>
      </c>
      <c r="X31" s="14">
        <v>0</v>
      </c>
      <c r="Y31" s="14">
        <v>0</v>
      </c>
      <c r="Z31" s="14">
        <f t="shared" si="9"/>
        <v>0</v>
      </c>
      <c r="AB31" s="88" t="s">
        <v>52</v>
      </c>
      <c r="AC31" s="26">
        <f t="shared" si="10"/>
        <v>0.89828080229226359</v>
      </c>
      <c r="AD31" s="26">
        <f t="shared" si="11"/>
        <v>5.0143266475644696E-2</v>
      </c>
      <c r="AE31" s="26">
        <f t="shared" si="12"/>
        <v>4.5845272206303724E-2</v>
      </c>
      <c r="AF31" s="26">
        <f t="shared" si="13"/>
        <v>5.7306590257879654E-3</v>
      </c>
      <c r="AG31" s="26">
        <f t="shared" si="14"/>
        <v>0</v>
      </c>
    </row>
    <row r="32" spans="1:33" x14ac:dyDescent="0.25">
      <c r="A32" s="88" t="s">
        <v>65</v>
      </c>
      <c r="B32" s="14">
        <v>11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f t="shared" si="7"/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f t="shared" si="8"/>
        <v>0</v>
      </c>
      <c r="X32" s="14">
        <v>0</v>
      </c>
      <c r="Y32" s="14">
        <v>0</v>
      </c>
      <c r="Z32" s="14">
        <f t="shared" si="9"/>
        <v>0</v>
      </c>
      <c r="AB32" s="88" t="s">
        <v>65</v>
      </c>
      <c r="AC32" s="26">
        <f t="shared" si="10"/>
        <v>1</v>
      </c>
      <c r="AD32" s="26">
        <f t="shared" si="11"/>
        <v>0</v>
      </c>
      <c r="AE32" s="26">
        <f t="shared" si="12"/>
        <v>0</v>
      </c>
      <c r="AF32" s="26">
        <f t="shared" si="13"/>
        <v>0</v>
      </c>
      <c r="AG32" s="26">
        <f t="shared" si="14"/>
        <v>0</v>
      </c>
    </row>
    <row r="33" spans="1:33" x14ac:dyDescent="0.25">
      <c r="A33" s="88" t="s">
        <v>51</v>
      </c>
      <c r="B33" s="14">
        <v>573</v>
      </c>
      <c r="C33" s="14">
        <v>23</v>
      </c>
      <c r="D33" s="14">
        <v>11</v>
      </c>
      <c r="E33" s="14">
        <v>4</v>
      </c>
      <c r="F33" s="14">
        <v>2</v>
      </c>
      <c r="G33" s="14">
        <v>2</v>
      </c>
      <c r="H33" s="14">
        <v>1</v>
      </c>
      <c r="I33" s="14">
        <v>1</v>
      </c>
      <c r="J33" s="14">
        <f t="shared" si="7"/>
        <v>21</v>
      </c>
      <c r="K33" s="14">
        <v>2</v>
      </c>
      <c r="L33" s="14">
        <v>1</v>
      </c>
      <c r="M33" s="14">
        <v>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f t="shared" si="8"/>
        <v>4</v>
      </c>
      <c r="X33" s="14">
        <v>0</v>
      </c>
      <c r="Y33" s="14">
        <v>0</v>
      </c>
      <c r="Z33" s="14">
        <f t="shared" si="9"/>
        <v>0</v>
      </c>
      <c r="AB33" s="88" t="s">
        <v>51</v>
      </c>
      <c r="AC33" s="26">
        <f t="shared" si="10"/>
        <v>0.92270531400966183</v>
      </c>
      <c r="AD33" s="26">
        <f t="shared" si="11"/>
        <v>3.7037037037037035E-2</v>
      </c>
      <c r="AE33" s="26">
        <f t="shared" si="12"/>
        <v>3.3816425120772944E-2</v>
      </c>
      <c r="AF33" s="26">
        <f t="shared" si="13"/>
        <v>6.4412238325281803E-3</v>
      </c>
      <c r="AG33" s="26">
        <f t="shared" si="14"/>
        <v>0</v>
      </c>
    </row>
    <row r="34" spans="1:33" x14ac:dyDescent="0.25">
      <c r="A34" s="88" t="s">
        <v>54</v>
      </c>
      <c r="B34" s="14">
        <v>68</v>
      </c>
      <c r="C34" s="14">
        <v>17</v>
      </c>
      <c r="D34" s="14">
        <v>10</v>
      </c>
      <c r="E34" s="14">
        <v>2</v>
      </c>
      <c r="F34" s="14">
        <v>1</v>
      </c>
      <c r="G34" s="14">
        <v>3</v>
      </c>
      <c r="H34" s="14">
        <v>2</v>
      </c>
      <c r="I34" s="14">
        <v>1</v>
      </c>
      <c r="J34" s="14">
        <f t="shared" si="7"/>
        <v>19</v>
      </c>
      <c r="K34" s="14">
        <v>1</v>
      </c>
      <c r="L34" s="14">
        <v>0</v>
      </c>
      <c r="M34" s="14">
        <v>1</v>
      </c>
      <c r="N34" s="14">
        <v>1</v>
      </c>
      <c r="O34" s="14">
        <v>1</v>
      </c>
      <c r="P34" s="14">
        <v>0</v>
      </c>
      <c r="Q34" s="14">
        <v>0</v>
      </c>
      <c r="R34" s="14">
        <v>1</v>
      </c>
      <c r="S34" s="14">
        <v>2</v>
      </c>
      <c r="T34" s="14">
        <v>0</v>
      </c>
      <c r="U34" s="14">
        <v>0</v>
      </c>
      <c r="V34" s="14">
        <v>0</v>
      </c>
      <c r="W34" s="14">
        <f t="shared" si="8"/>
        <v>7</v>
      </c>
      <c r="X34" s="14">
        <v>1</v>
      </c>
      <c r="Y34" s="14">
        <v>3</v>
      </c>
      <c r="Z34" s="14">
        <f t="shared" si="9"/>
        <v>4</v>
      </c>
      <c r="AB34" s="88" t="s">
        <v>54</v>
      </c>
      <c r="AC34" s="26">
        <f t="shared" si="10"/>
        <v>0.59130434782608698</v>
      </c>
      <c r="AD34" s="26">
        <f t="shared" si="11"/>
        <v>0.14782608695652175</v>
      </c>
      <c r="AE34" s="26">
        <f t="shared" si="12"/>
        <v>0.16521739130434782</v>
      </c>
      <c r="AF34" s="26">
        <f t="shared" si="13"/>
        <v>6.0869565217391307E-2</v>
      </c>
      <c r="AG34" s="26">
        <f t="shared" si="14"/>
        <v>3.4782608695652174E-2</v>
      </c>
    </row>
    <row r="35" spans="1:33" x14ac:dyDescent="0.25">
      <c r="A35" s="88" t="s">
        <v>67</v>
      </c>
      <c r="B35" s="14">
        <v>47</v>
      </c>
      <c r="C35" s="14">
        <v>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f t="shared" si="7"/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f t="shared" si="8"/>
        <v>0</v>
      </c>
      <c r="X35" s="14">
        <v>0</v>
      </c>
      <c r="Y35" s="14">
        <v>0</v>
      </c>
      <c r="Z35" s="14">
        <f t="shared" si="9"/>
        <v>0</v>
      </c>
      <c r="AB35" s="88" t="s">
        <v>67</v>
      </c>
      <c r="AC35" s="26">
        <f t="shared" si="10"/>
        <v>0.97916666666666663</v>
      </c>
      <c r="AD35" s="26">
        <f t="shared" si="11"/>
        <v>2.0833333333333332E-2</v>
      </c>
      <c r="AE35" s="26">
        <f t="shared" si="12"/>
        <v>0</v>
      </c>
      <c r="AF35" s="26">
        <f t="shared" si="13"/>
        <v>0</v>
      </c>
      <c r="AG35" s="26">
        <f t="shared" si="14"/>
        <v>0</v>
      </c>
    </row>
    <row r="36" spans="1:33" x14ac:dyDescent="0.25">
      <c r="A36" s="88" t="s">
        <v>75</v>
      </c>
      <c r="B36" s="14">
        <v>8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f t="shared" si="7"/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f t="shared" si="8"/>
        <v>0</v>
      </c>
      <c r="X36" s="14">
        <v>0</v>
      </c>
      <c r="Y36" s="14">
        <v>0</v>
      </c>
      <c r="Z36" s="14">
        <f t="shared" si="9"/>
        <v>0</v>
      </c>
      <c r="AB36" s="88" t="s">
        <v>75</v>
      </c>
      <c r="AC36" s="26">
        <f t="shared" si="10"/>
        <v>1</v>
      </c>
      <c r="AD36" s="26">
        <f t="shared" si="11"/>
        <v>0</v>
      </c>
      <c r="AE36" s="26">
        <f t="shared" si="12"/>
        <v>0</v>
      </c>
      <c r="AF36" s="26">
        <f t="shared" si="13"/>
        <v>0</v>
      </c>
      <c r="AG36" s="26">
        <f t="shared" si="14"/>
        <v>0</v>
      </c>
    </row>
    <row r="37" spans="1:33" x14ac:dyDescent="0.25">
      <c r="A37" s="88" t="s">
        <v>55</v>
      </c>
      <c r="B37" s="14">
        <v>237</v>
      </c>
      <c r="C37" s="14">
        <v>2</v>
      </c>
      <c r="D37" s="14">
        <v>0</v>
      </c>
      <c r="E37" s="14">
        <v>0</v>
      </c>
      <c r="F37" s="14">
        <v>1</v>
      </c>
      <c r="G37" s="14">
        <v>0</v>
      </c>
      <c r="H37" s="14">
        <v>0</v>
      </c>
      <c r="I37" s="14">
        <v>0</v>
      </c>
      <c r="J37" s="14">
        <f t="shared" si="7"/>
        <v>1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f t="shared" si="8"/>
        <v>1</v>
      </c>
      <c r="X37" s="14">
        <v>0</v>
      </c>
      <c r="Y37" s="14">
        <v>0</v>
      </c>
      <c r="Z37" s="14">
        <f t="shared" si="9"/>
        <v>0</v>
      </c>
      <c r="AB37" s="88" t="s">
        <v>55</v>
      </c>
      <c r="AC37" s="26">
        <f t="shared" si="10"/>
        <v>0.98340248962655596</v>
      </c>
      <c r="AD37" s="26">
        <f t="shared" si="11"/>
        <v>8.2987551867219917E-3</v>
      </c>
      <c r="AE37" s="26">
        <f t="shared" si="12"/>
        <v>4.1493775933609959E-3</v>
      </c>
      <c r="AF37" s="26">
        <f t="shared" si="13"/>
        <v>4.1493775933609959E-3</v>
      </c>
      <c r="AG37" s="26">
        <f t="shared" si="14"/>
        <v>0</v>
      </c>
    </row>
    <row r="38" spans="1:33" x14ac:dyDescent="0.25">
      <c r="A38" s="88" t="s">
        <v>80</v>
      </c>
      <c r="B38" s="14">
        <v>3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f t="shared" si="7"/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f t="shared" si="8"/>
        <v>0</v>
      </c>
      <c r="X38" s="14">
        <v>0</v>
      </c>
      <c r="Y38" s="14">
        <v>0</v>
      </c>
      <c r="Z38" s="14">
        <f t="shared" si="9"/>
        <v>0</v>
      </c>
      <c r="AB38" s="88" t="s">
        <v>80</v>
      </c>
      <c r="AC38" s="26">
        <f t="shared" si="10"/>
        <v>1</v>
      </c>
      <c r="AD38" s="26">
        <f t="shared" si="11"/>
        <v>0</v>
      </c>
      <c r="AE38" s="26">
        <f t="shared" si="12"/>
        <v>0</v>
      </c>
      <c r="AF38" s="26">
        <f t="shared" si="13"/>
        <v>0</v>
      </c>
      <c r="AG38" s="26">
        <f t="shared" si="14"/>
        <v>0</v>
      </c>
    </row>
    <row r="39" spans="1:33" x14ac:dyDescent="0.25">
      <c r="A39" s="88" t="s">
        <v>56</v>
      </c>
      <c r="B39" s="14">
        <v>61</v>
      </c>
      <c r="C39" s="14">
        <v>3</v>
      </c>
      <c r="D39" s="14">
        <v>1</v>
      </c>
      <c r="E39" s="14">
        <v>2</v>
      </c>
      <c r="F39" s="14">
        <v>0</v>
      </c>
      <c r="G39" s="14">
        <v>0</v>
      </c>
      <c r="H39" s="14">
        <v>0</v>
      </c>
      <c r="I39" s="14">
        <v>0</v>
      </c>
      <c r="J39" s="14">
        <f t="shared" si="7"/>
        <v>3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f t="shared" si="8"/>
        <v>0</v>
      </c>
      <c r="X39" s="14">
        <v>0</v>
      </c>
      <c r="Y39" s="14">
        <v>0</v>
      </c>
      <c r="Z39" s="14">
        <f t="shared" si="9"/>
        <v>0</v>
      </c>
      <c r="AB39" s="88" t="s">
        <v>56</v>
      </c>
      <c r="AC39" s="26">
        <f t="shared" si="10"/>
        <v>0.91044776119402981</v>
      </c>
      <c r="AD39" s="26">
        <f t="shared" si="11"/>
        <v>4.4776119402985072E-2</v>
      </c>
      <c r="AE39" s="26">
        <f t="shared" si="12"/>
        <v>4.4776119402985072E-2</v>
      </c>
      <c r="AF39" s="26">
        <f t="shared" si="13"/>
        <v>0</v>
      </c>
      <c r="AG39" s="26">
        <f t="shared" si="14"/>
        <v>0</v>
      </c>
    </row>
    <row r="40" spans="1:33" x14ac:dyDescent="0.25">
      <c r="A40" s="88" t="s">
        <v>57</v>
      </c>
      <c r="B40" s="14">
        <v>173</v>
      </c>
      <c r="C40" s="14">
        <v>6</v>
      </c>
      <c r="D40" s="14">
        <v>3</v>
      </c>
      <c r="E40" s="14">
        <v>0</v>
      </c>
      <c r="F40" s="14">
        <v>1</v>
      </c>
      <c r="G40" s="14">
        <v>0</v>
      </c>
      <c r="H40" s="14">
        <v>0</v>
      </c>
      <c r="I40" s="14">
        <v>0</v>
      </c>
      <c r="J40" s="14">
        <f t="shared" si="7"/>
        <v>4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f t="shared" si="8"/>
        <v>0</v>
      </c>
      <c r="X40" s="14">
        <v>0</v>
      </c>
      <c r="Y40" s="14">
        <v>0</v>
      </c>
      <c r="Z40" s="14">
        <f t="shared" si="9"/>
        <v>0</v>
      </c>
      <c r="AB40" s="88" t="s">
        <v>57</v>
      </c>
      <c r="AC40" s="26">
        <f t="shared" si="10"/>
        <v>0.94535519125683065</v>
      </c>
      <c r="AD40" s="26">
        <f t="shared" si="11"/>
        <v>3.2786885245901641E-2</v>
      </c>
      <c r="AE40" s="26">
        <f t="shared" si="12"/>
        <v>2.185792349726776E-2</v>
      </c>
      <c r="AF40" s="26">
        <f t="shared" si="13"/>
        <v>0</v>
      </c>
      <c r="AG40" s="26">
        <f t="shared" si="14"/>
        <v>0</v>
      </c>
    </row>
    <row r="41" spans="1:33" x14ac:dyDescent="0.25">
      <c r="A41" s="88" t="s">
        <v>86</v>
      </c>
      <c r="B41" s="14">
        <v>294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f t="shared" si="7"/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f t="shared" si="8"/>
        <v>0</v>
      </c>
      <c r="X41" s="14">
        <v>0</v>
      </c>
      <c r="Y41" s="14">
        <v>0</v>
      </c>
      <c r="Z41" s="14">
        <f t="shared" si="9"/>
        <v>0</v>
      </c>
      <c r="AB41" s="88" t="s">
        <v>86</v>
      </c>
      <c r="AC41" s="26">
        <f t="shared" si="10"/>
        <v>1</v>
      </c>
      <c r="AD41" s="26">
        <f t="shared" si="11"/>
        <v>0</v>
      </c>
      <c r="AE41" s="26">
        <f t="shared" si="12"/>
        <v>0</v>
      </c>
      <c r="AF41" s="26">
        <f t="shared" si="13"/>
        <v>0</v>
      </c>
      <c r="AG41" s="26">
        <f t="shared" si="14"/>
        <v>0</v>
      </c>
    </row>
    <row r="42" spans="1:33" x14ac:dyDescent="0.25">
      <c r="A42" s="95" t="s">
        <v>59</v>
      </c>
      <c r="B42" s="96">
        <v>3462</v>
      </c>
      <c r="C42" s="96">
        <v>125</v>
      </c>
      <c r="D42" s="96">
        <v>58</v>
      </c>
      <c r="E42" s="96">
        <v>26</v>
      </c>
      <c r="F42" s="96">
        <v>15</v>
      </c>
      <c r="G42" s="96">
        <v>9</v>
      </c>
      <c r="H42" s="96">
        <v>7</v>
      </c>
      <c r="I42" s="96">
        <v>5</v>
      </c>
      <c r="J42" s="61">
        <f t="shared" si="7"/>
        <v>120</v>
      </c>
      <c r="K42" s="96">
        <v>5</v>
      </c>
      <c r="L42" s="96">
        <v>5</v>
      </c>
      <c r="M42" s="96">
        <v>5</v>
      </c>
      <c r="N42" s="96">
        <v>1</v>
      </c>
      <c r="O42" s="96">
        <v>4</v>
      </c>
      <c r="P42" s="96">
        <v>0</v>
      </c>
      <c r="Q42" s="96">
        <v>1</v>
      </c>
      <c r="R42" s="96">
        <v>1</v>
      </c>
      <c r="S42" s="96">
        <v>2</v>
      </c>
      <c r="T42" s="96">
        <v>1</v>
      </c>
      <c r="U42" s="96">
        <v>0</v>
      </c>
      <c r="V42" s="96">
        <v>1</v>
      </c>
      <c r="W42" s="61">
        <f t="shared" si="8"/>
        <v>26</v>
      </c>
      <c r="X42" s="96">
        <v>4</v>
      </c>
      <c r="Y42" s="96">
        <v>6</v>
      </c>
      <c r="Z42" s="61">
        <f t="shared" si="9"/>
        <v>10</v>
      </c>
      <c r="AB42" s="95" t="s">
        <v>59</v>
      </c>
      <c r="AC42" s="101">
        <f t="shared" si="10"/>
        <v>0.92492652952177401</v>
      </c>
      <c r="AD42" s="101">
        <f t="shared" si="11"/>
        <v>3.3395671920919051E-2</v>
      </c>
      <c r="AE42" s="62">
        <f t="shared" si="12"/>
        <v>3.205984504408229E-2</v>
      </c>
      <c r="AF42" s="62">
        <f t="shared" si="13"/>
        <v>6.9462997595511619E-3</v>
      </c>
      <c r="AG42" s="122">
        <f t="shared" si="14"/>
        <v>2.6716537536735237E-3</v>
      </c>
    </row>
  </sheetData>
  <mergeCells count="4">
    <mergeCell ref="A3:B3"/>
    <mergeCell ref="A24:B24"/>
    <mergeCell ref="AB3:AD3"/>
    <mergeCell ref="AB24:AC24"/>
  </mergeCells>
  <hyperlinks>
    <hyperlink ref="AA1" location="INDICE!A1" display="INDIC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5"/>
  <sheetViews>
    <sheetView topLeftCell="A13" workbookViewId="0">
      <pane xSplit="1" topLeftCell="H1" activePane="topRight" state="frozen"/>
      <selection pane="topRight" activeCell="E1" sqref="E1"/>
    </sheetView>
  </sheetViews>
  <sheetFormatPr baseColWidth="10" defaultRowHeight="15" x14ac:dyDescent="0.25"/>
  <cols>
    <col min="1" max="1" width="26" customWidth="1"/>
    <col min="8" max="8" width="13.140625" customWidth="1"/>
    <col min="12" max="13" width="14.140625" customWidth="1"/>
    <col min="15" max="15" width="16.28515625" customWidth="1"/>
    <col min="17" max="17" width="18.85546875" customWidth="1"/>
  </cols>
  <sheetData>
    <row r="1" spans="1:19" x14ac:dyDescent="0.25">
      <c r="D1" s="2" t="s">
        <v>0</v>
      </c>
      <c r="E1" s="176" t="s">
        <v>1</v>
      </c>
      <c r="F1" s="2" t="s">
        <v>216</v>
      </c>
      <c r="G1" t="s">
        <v>231</v>
      </c>
    </row>
    <row r="2" spans="1:19" x14ac:dyDescent="0.25">
      <c r="D2" s="2"/>
      <c r="E2" s="176"/>
      <c r="F2" s="2"/>
      <c r="G2" t="s">
        <v>321</v>
      </c>
    </row>
    <row r="3" spans="1:19" ht="18.75" x14ac:dyDescent="0.3">
      <c r="A3" s="102" t="s">
        <v>6</v>
      </c>
    </row>
    <row r="4" spans="1:19" x14ac:dyDescent="0.25">
      <c r="A4" s="312" t="s">
        <v>94</v>
      </c>
      <c r="B4" s="316" t="s">
        <v>148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</row>
    <row r="5" spans="1:19" ht="32.25" customHeight="1" x14ac:dyDescent="0.25">
      <c r="A5" s="312"/>
      <c r="B5" s="113" t="s">
        <v>176</v>
      </c>
      <c r="C5" s="113" t="s">
        <v>183</v>
      </c>
      <c r="D5" s="113" t="s">
        <v>177</v>
      </c>
      <c r="E5" s="113" t="s">
        <v>179</v>
      </c>
      <c r="F5" s="113" t="s">
        <v>178</v>
      </c>
      <c r="G5" s="113" t="s">
        <v>180</v>
      </c>
      <c r="H5" s="113" t="s">
        <v>185</v>
      </c>
      <c r="I5" s="113" t="s">
        <v>182</v>
      </c>
      <c r="J5" s="113" t="s">
        <v>181</v>
      </c>
      <c r="K5" s="113" t="s">
        <v>184</v>
      </c>
      <c r="L5" s="113" t="s">
        <v>159</v>
      </c>
      <c r="M5" s="113" t="s">
        <v>298</v>
      </c>
      <c r="N5" s="104" t="s">
        <v>160</v>
      </c>
      <c r="O5" s="263" t="s">
        <v>299</v>
      </c>
    </row>
    <row r="6" spans="1:19" x14ac:dyDescent="0.25">
      <c r="A6" s="119" t="s">
        <v>49</v>
      </c>
      <c r="B6" s="120">
        <v>52252.76</v>
      </c>
      <c r="C6" s="120">
        <v>27752.33</v>
      </c>
      <c r="D6" s="120">
        <v>8537.2199999999993</v>
      </c>
      <c r="E6" s="120">
        <v>12768.31</v>
      </c>
      <c r="F6" s="120">
        <v>8598.7999999999993</v>
      </c>
      <c r="G6" s="120">
        <v>7256.58</v>
      </c>
      <c r="H6" s="120">
        <v>1935.61</v>
      </c>
      <c r="I6" s="120">
        <v>2173.3000000000002</v>
      </c>
      <c r="J6" s="120">
        <v>866.17</v>
      </c>
      <c r="K6" s="120">
        <v>3053.05</v>
      </c>
      <c r="L6" s="120">
        <v>3993.57</v>
      </c>
      <c r="M6" s="120">
        <v>13053.89</v>
      </c>
      <c r="N6" s="120">
        <v>142241.59000000003</v>
      </c>
      <c r="O6" s="120">
        <f>SUM(B6:M6)</f>
        <v>142241.59000000003</v>
      </c>
    </row>
    <row r="7" spans="1:19" ht="18" customHeight="1" x14ac:dyDescent="0.25">
      <c r="A7" s="13" t="s">
        <v>11</v>
      </c>
      <c r="B7" s="14">
        <v>15837</v>
      </c>
      <c r="C7" s="14">
        <v>10299.379999999999</v>
      </c>
      <c r="D7" s="14">
        <v>2552.73</v>
      </c>
      <c r="E7" s="14">
        <v>7001.94</v>
      </c>
      <c r="F7" s="14">
        <v>1268.03</v>
      </c>
      <c r="G7" s="14">
        <v>1709.15</v>
      </c>
      <c r="H7" s="14">
        <v>328.15</v>
      </c>
      <c r="I7" s="14">
        <v>677.83</v>
      </c>
      <c r="J7" s="14">
        <v>84.44</v>
      </c>
      <c r="K7" s="14">
        <v>791.86</v>
      </c>
      <c r="L7" s="14">
        <v>289.11</v>
      </c>
      <c r="M7" s="14">
        <v>2566.0700000000006</v>
      </c>
      <c r="N7" s="14">
        <v>43405.799999999996</v>
      </c>
      <c r="O7" s="14">
        <f t="shared" ref="O7:O59" si="0">SUM(B7:M7)</f>
        <v>43405.69</v>
      </c>
      <c r="Q7" s="313" t="s">
        <v>200</v>
      </c>
      <c r="R7" s="314"/>
      <c r="S7" s="315"/>
    </row>
    <row r="8" spans="1:19" x14ac:dyDescent="0.25">
      <c r="A8" s="13" t="s">
        <v>12</v>
      </c>
      <c r="B8" s="14">
        <v>91.17</v>
      </c>
      <c r="C8" s="14"/>
      <c r="D8" s="14"/>
      <c r="E8" s="14">
        <v>1.74</v>
      </c>
      <c r="F8" s="14">
        <v>382.66</v>
      </c>
      <c r="G8" s="14"/>
      <c r="H8" s="14"/>
      <c r="I8" s="14">
        <v>7.82</v>
      </c>
      <c r="J8" s="14"/>
      <c r="K8" s="14">
        <v>133.84</v>
      </c>
      <c r="L8" s="14">
        <v>62.67</v>
      </c>
      <c r="M8" s="14">
        <v>79.83</v>
      </c>
      <c r="N8" s="14">
        <v>759.72</v>
      </c>
      <c r="O8" s="14">
        <f t="shared" si="0"/>
        <v>759.73</v>
      </c>
      <c r="Q8" s="113" t="s">
        <v>176</v>
      </c>
      <c r="R8" s="14">
        <v>136760.59</v>
      </c>
      <c r="S8" s="26">
        <f t="shared" ref="S8:S20" si="1">R8/$R$20</f>
        <v>0.28163778378215298</v>
      </c>
    </row>
    <row r="9" spans="1:19" x14ac:dyDescent="0.25">
      <c r="A9" s="13" t="s">
        <v>13</v>
      </c>
      <c r="B9" s="14">
        <v>326.98</v>
      </c>
      <c r="C9" s="14">
        <v>14.719999999999997</v>
      </c>
      <c r="D9" s="14">
        <v>65.790000000000006</v>
      </c>
      <c r="E9" s="14">
        <v>131.52000000000001</v>
      </c>
      <c r="F9" s="14">
        <v>1407.41</v>
      </c>
      <c r="G9" s="14">
        <v>5.99</v>
      </c>
      <c r="H9" s="14">
        <v>5.96</v>
      </c>
      <c r="I9" s="14">
        <v>10.239999999999998</v>
      </c>
      <c r="J9" s="14">
        <v>1.44</v>
      </c>
      <c r="K9" s="14">
        <v>719.71</v>
      </c>
      <c r="L9" s="14">
        <v>250.83999999999997</v>
      </c>
      <c r="M9" s="14">
        <v>915.79</v>
      </c>
      <c r="N9" s="14">
        <v>3856.4200000000005</v>
      </c>
      <c r="O9" s="14">
        <f t="shared" si="0"/>
        <v>3856.3900000000003</v>
      </c>
      <c r="Q9" s="113" t="s">
        <v>183</v>
      </c>
      <c r="R9" s="14">
        <v>79192.87</v>
      </c>
      <c r="S9" s="26">
        <f t="shared" si="1"/>
        <v>0.16308575736729528</v>
      </c>
    </row>
    <row r="10" spans="1:19" x14ac:dyDescent="0.25">
      <c r="A10" s="13" t="s">
        <v>14</v>
      </c>
      <c r="B10" s="14">
        <v>34338.21</v>
      </c>
      <c r="C10" s="14">
        <v>13934.25</v>
      </c>
      <c r="D10" s="14">
        <v>5652.07</v>
      </c>
      <c r="E10" s="14">
        <v>3502.47</v>
      </c>
      <c r="F10" s="14">
        <v>3619.65</v>
      </c>
      <c r="G10" s="14">
        <v>5179.6499999999996</v>
      </c>
      <c r="H10" s="14">
        <v>1252.6300000000001</v>
      </c>
      <c r="I10" s="14">
        <v>1366.26</v>
      </c>
      <c r="J10" s="14">
        <v>670</v>
      </c>
      <c r="K10" s="14">
        <v>1010.43</v>
      </c>
      <c r="L10" s="14">
        <v>1770.3</v>
      </c>
      <c r="M10" s="14">
        <v>8373.5299999999988</v>
      </c>
      <c r="N10" s="14">
        <v>80669.450000000026</v>
      </c>
      <c r="O10" s="14">
        <f t="shared" si="0"/>
        <v>80669.45</v>
      </c>
      <c r="Q10" s="113" t="s">
        <v>177</v>
      </c>
      <c r="R10" s="14">
        <v>53642.59</v>
      </c>
      <c r="S10" s="26">
        <f t="shared" si="1"/>
        <v>0.11046881388808487</v>
      </c>
    </row>
    <row r="11" spans="1:19" x14ac:dyDescent="0.25">
      <c r="A11" s="13" t="s">
        <v>15</v>
      </c>
      <c r="B11" s="14">
        <v>5.3400000000000007</v>
      </c>
      <c r="C11" s="14">
        <v>72.679999999999993</v>
      </c>
      <c r="D11" s="14">
        <v>0.37</v>
      </c>
      <c r="E11" s="14">
        <v>48.3</v>
      </c>
      <c r="F11" s="14">
        <v>202.64</v>
      </c>
      <c r="G11" s="14">
        <v>3.66</v>
      </c>
      <c r="H11" s="14">
        <v>20.990000000000002</v>
      </c>
      <c r="I11" s="14"/>
      <c r="J11" s="14">
        <v>2.37</v>
      </c>
      <c r="K11" s="14">
        <v>6.41</v>
      </c>
      <c r="L11" s="14">
        <v>93.57</v>
      </c>
      <c r="M11" s="14">
        <v>206.21000000000004</v>
      </c>
      <c r="N11" s="14">
        <v>663.33</v>
      </c>
      <c r="O11" s="14">
        <f t="shared" si="0"/>
        <v>662.54000000000008</v>
      </c>
      <c r="Q11" s="113" t="s">
        <v>179</v>
      </c>
      <c r="R11" s="14">
        <v>38546</v>
      </c>
      <c r="S11" s="26">
        <f t="shared" si="1"/>
        <v>7.9379666420471492E-2</v>
      </c>
    </row>
    <row r="12" spans="1:19" x14ac:dyDescent="0.25">
      <c r="A12" s="13" t="s">
        <v>16</v>
      </c>
      <c r="B12" s="14">
        <v>1164.25</v>
      </c>
      <c r="C12" s="14">
        <v>288.79000000000002</v>
      </c>
      <c r="D12" s="14">
        <v>155.02000000000001</v>
      </c>
      <c r="E12" s="14">
        <v>175.85</v>
      </c>
      <c r="F12" s="14">
        <v>263.77</v>
      </c>
      <c r="G12" s="14">
        <v>55.88</v>
      </c>
      <c r="H12" s="14">
        <v>5.49</v>
      </c>
      <c r="I12" s="14">
        <v>87.97</v>
      </c>
      <c r="J12" s="14">
        <v>36.519999999999996</v>
      </c>
      <c r="K12" s="14">
        <v>82.06</v>
      </c>
      <c r="L12" s="14">
        <v>535.34</v>
      </c>
      <c r="M12" s="14">
        <v>182.31</v>
      </c>
      <c r="N12" s="14">
        <v>3011.8899999999994</v>
      </c>
      <c r="O12" s="14">
        <f t="shared" si="0"/>
        <v>3033.2499999999995</v>
      </c>
      <c r="Q12" s="113" t="s">
        <v>178</v>
      </c>
      <c r="R12" s="14">
        <v>27840.46</v>
      </c>
      <c r="S12" s="26">
        <f t="shared" si="1"/>
        <v>5.7333223364096915E-2</v>
      </c>
    </row>
    <row r="13" spans="1:19" x14ac:dyDescent="0.25">
      <c r="A13" s="13" t="s">
        <v>17</v>
      </c>
      <c r="B13" s="14">
        <v>236.17</v>
      </c>
      <c r="C13" s="14">
        <v>3141.03</v>
      </c>
      <c r="D13" s="14">
        <v>80.38</v>
      </c>
      <c r="E13" s="14">
        <v>1850.74</v>
      </c>
      <c r="F13" s="14">
        <v>320.02</v>
      </c>
      <c r="G13" s="14">
        <v>93.85</v>
      </c>
      <c r="H13" s="14">
        <v>26.27</v>
      </c>
      <c r="I13" s="14">
        <v>23.18</v>
      </c>
      <c r="J13" s="14">
        <v>46.23</v>
      </c>
      <c r="K13" s="14">
        <v>82.06</v>
      </c>
      <c r="L13" s="14">
        <v>747.71</v>
      </c>
      <c r="M13" s="14">
        <v>218.64000000000001</v>
      </c>
      <c r="N13" s="14">
        <v>6866.28</v>
      </c>
      <c r="O13" s="14">
        <f t="shared" si="0"/>
        <v>6866.2800000000016</v>
      </c>
      <c r="Q13" s="113" t="s">
        <v>180</v>
      </c>
      <c r="R13" s="14">
        <v>17617.47</v>
      </c>
      <c r="S13" s="26">
        <f t="shared" si="1"/>
        <v>3.6280519166000724E-2</v>
      </c>
    </row>
    <row r="14" spans="1:19" x14ac:dyDescent="0.25">
      <c r="A14" s="13" t="s">
        <v>18</v>
      </c>
      <c r="B14" s="14">
        <v>253.53</v>
      </c>
      <c r="C14" s="14">
        <v>1.48</v>
      </c>
      <c r="D14" s="14">
        <v>30.86</v>
      </c>
      <c r="E14" s="14">
        <v>55.750000000000007</v>
      </c>
      <c r="F14" s="14">
        <v>1134</v>
      </c>
      <c r="G14" s="14">
        <v>208.40000000000003</v>
      </c>
      <c r="H14" s="14">
        <v>296.12</v>
      </c>
      <c r="I14" s="14"/>
      <c r="J14" s="14">
        <v>25.17</v>
      </c>
      <c r="K14" s="14">
        <v>248.02</v>
      </c>
      <c r="L14" s="14">
        <v>243.25</v>
      </c>
      <c r="M14" s="14">
        <v>511.51</v>
      </c>
      <c r="N14" s="14">
        <v>3008.7000000000003</v>
      </c>
      <c r="O14" s="14">
        <f t="shared" si="0"/>
        <v>3008.09</v>
      </c>
      <c r="Q14" s="113" t="s">
        <v>185</v>
      </c>
      <c r="R14" s="14">
        <v>12782.74</v>
      </c>
      <c r="S14" s="26">
        <f t="shared" si="1"/>
        <v>2.6324122791978873E-2</v>
      </c>
    </row>
    <row r="15" spans="1:19" ht="13.5" customHeight="1" x14ac:dyDescent="0.25">
      <c r="A15" s="119" t="s">
        <v>50</v>
      </c>
      <c r="B15" s="120">
        <f>SUM(B16:B18)</f>
        <v>16879.93</v>
      </c>
      <c r="C15" s="120">
        <f t="shared" ref="C15:K15" si="2">SUM(C16:C18)</f>
        <v>7661.98</v>
      </c>
      <c r="D15" s="120">
        <f t="shared" si="2"/>
        <v>13421.150000000001</v>
      </c>
      <c r="E15" s="120">
        <f t="shared" si="2"/>
        <v>2374.54</v>
      </c>
      <c r="F15" s="120">
        <f t="shared" si="2"/>
        <v>830.51</v>
      </c>
      <c r="G15" s="120">
        <f t="shared" si="2"/>
        <v>1959.7999999999997</v>
      </c>
      <c r="H15" s="120">
        <f t="shared" si="2"/>
        <v>910.11</v>
      </c>
      <c r="I15" s="120">
        <f t="shared" si="2"/>
        <v>615.52000000000021</v>
      </c>
      <c r="J15" s="120">
        <f t="shared" si="2"/>
        <v>1284.97</v>
      </c>
      <c r="K15" s="120">
        <f t="shared" si="2"/>
        <v>228.6</v>
      </c>
      <c r="L15" s="120">
        <f>SUM(L16:L18)</f>
        <v>8086.0800000000017</v>
      </c>
      <c r="M15" s="120">
        <v>4310.3900000000003</v>
      </c>
      <c r="N15" s="120">
        <v>58563.58</v>
      </c>
      <c r="O15" s="120">
        <f t="shared" si="0"/>
        <v>58563.58</v>
      </c>
      <c r="Q15" s="113" t="s">
        <v>184</v>
      </c>
      <c r="R15" s="14">
        <v>9314.67</v>
      </c>
      <c r="S15" s="135">
        <f>R15/$R$20</f>
        <v>1.9182156317562735E-2</v>
      </c>
    </row>
    <row r="16" spans="1:19" x14ac:dyDescent="0.25">
      <c r="A16" s="13" t="s">
        <v>19</v>
      </c>
      <c r="B16" s="14">
        <v>1274.2599999999998</v>
      </c>
      <c r="C16" s="14">
        <v>274.90999999999991</v>
      </c>
      <c r="D16" s="14">
        <v>2856.5800000000004</v>
      </c>
      <c r="E16" s="14">
        <v>601.15999999999985</v>
      </c>
      <c r="F16" s="14">
        <v>350.12999999999988</v>
      </c>
      <c r="G16" s="14">
        <v>702.29999999999984</v>
      </c>
      <c r="H16" s="14">
        <v>490.62000000000006</v>
      </c>
      <c r="I16" s="14">
        <v>149.38</v>
      </c>
      <c r="J16" s="14">
        <v>90.27</v>
      </c>
      <c r="K16" s="14">
        <v>41.319999999999993</v>
      </c>
      <c r="L16" s="14">
        <v>1271.9899999999998</v>
      </c>
      <c r="M16" s="14">
        <v>963.31999999999971</v>
      </c>
      <c r="N16" s="14">
        <v>9066.2400000000016</v>
      </c>
      <c r="O16" s="14">
        <f t="shared" si="0"/>
        <v>9066.24</v>
      </c>
      <c r="Q16" s="113" t="s">
        <v>181</v>
      </c>
      <c r="R16" s="14">
        <v>8293.8700000000008</v>
      </c>
      <c r="S16" s="135">
        <f>R16/$R$20</f>
        <v>1.7079972861898923E-2</v>
      </c>
    </row>
    <row r="17" spans="1:19" x14ac:dyDescent="0.25">
      <c r="A17" s="13" t="s">
        <v>20</v>
      </c>
      <c r="B17" s="14">
        <v>2253.7899999999995</v>
      </c>
      <c r="C17" s="14">
        <v>4057.72</v>
      </c>
      <c r="D17" s="14">
        <v>4944.4400000000005</v>
      </c>
      <c r="E17" s="14">
        <v>993.99999999999989</v>
      </c>
      <c r="F17" s="14">
        <v>88.72999999999999</v>
      </c>
      <c r="G17" s="14">
        <v>346.94999999999993</v>
      </c>
      <c r="H17" s="14">
        <v>173.05</v>
      </c>
      <c r="I17" s="14">
        <v>44.489999999999995</v>
      </c>
      <c r="J17" s="14">
        <v>321.85000000000002</v>
      </c>
      <c r="K17" s="14">
        <v>47.77</v>
      </c>
      <c r="L17" s="14">
        <v>4339.2700000000023</v>
      </c>
      <c r="M17" s="14">
        <v>762.48</v>
      </c>
      <c r="N17" s="14">
        <v>18374.539999999997</v>
      </c>
      <c r="O17" s="14">
        <f t="shared" si="0"/>
        <v>18374.540000000005</v>
      </c>
      <c r="Q17" s="113" t="s">
        <v>182</v>
      </c>
      <c r="R17" s="14">
        <v>8174.81</v>
      </c>
      <c r="S17" s="135">
        <f>R17/$R$20</f>
        <v>1.6834786770371361E-2</v>
      </c>
    </row>
    <row r="18" spans="1:19" ht="16.5" customHeight="1" x14ac:dyDescent="0.25">
      <c r="A18" s="13" t="s">
        <v>21</v>
      </c>
      <c r="B18" s="14">
        <v>13351.88</v>
      </c>
      <c r="C18" s="14">
        <v>3329.3499999999995</v>
      </c>
      <c r="D18" s="14">
        <v>5620.13</v>
      </c>
      <c r="E18" s="14">
        <v>779.38000000000022</v>
      </c>
      <c r="F18" s="14">
        <v>391.65000000000003</v>
      </c>
      <c r="G18" s="14">
        <v>910.55000000000007</v>
      </c>
      <c r="H18" s="14">
        <v>246.43999999999994</v>
      </c>
      <c r="I18" s="14">
        <v>421.65000000000015</v>
      </c>
      <c r="J18" s="14">
        <v>872.85</v>
      </c>
      <c r="K18" s="14">
        <v>139.51</v>
      </c>
      <c r="L18" s="14">
        <v>2474.8199999999993</v>
      </c>
      <c r="M18" s="14">
        <v>2584.5900000000006</v>
      </c>
      <c r="N18" s="14">
        <v>31122.800000000003</v>
      </c>
      <c r="O18" s="14">
        <f t="shared" si="0"/>
        <v>31122.799999999999</v>
      </c>
      <c r="Q18" s="113" t="s">
        <v>159</v>
      </c>
      <c r="R18" s="14">
        <v>38251.910000000003</v>
      </c>
      <c r="S18" s="26">
        <f t="shared" si="1"/>
        <v>7.8774032474080269E-2</v>
      </c>
    </row>
    <row r="19" spans="1:19" ht="15.75" customHeight="1" x14ac:dyDescent="0.25">
      <c r="A19" s="119" t="s">
        <v>60</v>
      </c>
      <c r="B19" s="120">
        <v>4851.949999999998</v>
      </c>
      <c r="C19" s="120">
        <v>7049.050000000002</v>
      </c>
      <c r="D19" s="120">
        <v>6685.0000000000009</v>
      </c>
      <c r="E19" s="120">
        <v>12597.41</v>
      </c>
      <c r="F19" s="120">
        <v>1525.29</v>
      </c>
      <c r="G19" s="120">
        <v>1679.5300000000002</v>
      </c>
      <c r="H19" s="120">
        <v>1047.8</v>
      </c>
      <c r="I19" s="120">
        <v>673.13000000000045</v>
      </c>
      <c r="J19" s="120">
        <v>1995.68</v>
      </c>
      <c r="K19" s="120">
        <v>312.86000000000013</v>
      </c>
      <c r="L19" s="120">
        <v>8600.4600000000028</v>
      </c>
      <c r="M19" s="120">
        <v>3886.39</v>
      </c>
      <c r="N19" s="120">
        <v>50904.55</v>
      </c>
      <c r="O19" s="120">
        <f t="shared" si="0"/>
        <v>50904.55</v>
      </c>
      <c r="Q19" s="263" t="s">
        <v>298</v>
      </c>
      <c r="R19" s="14">
        <v>55171.729999999989</v>
      </c>
      <c r="S19" s="26">
        <f t="shared" si="1"/>
        <v>0.11361784681264771</v>
      </c>
    </row>
    <row r="20" spans="1:19" x14ac:dyDescent="0.25">
      <c r="A20" s="13" t="s">
        <v>22</v>
      </c>
      <c r="B20" s="14">
        <v>2702.7299999999987</v>
      </c>
      <c r="C20" s="14">
        <v>3861.5100000000016</v>
      </c>
      <c r="D20" s="14">
        <v>195.68000000000006</v>
      </c>
      <c r="E20" s="14">
        <v>1327.2299999999996</v>
      </c>
      <c r="F20" s="14">
        <v>99.1</v>
      </c>
      <c r="G20" s="14">
        <v>197.45999999999998</v>
      </c>
      <c r="H20" s="14">
        <v>72.03</v>
      </c>
      <c r="I20" s="14">
        <v>73.700000000000017</v>
      </c>
      <c r="J20" s="14">
        <v>416.15999999999997</v>
      </c>
      <c r="K20" s="14">
        <v>21.82</v>
      </c>
      <c r="L20" s="14">
        <v>1423.4300000000003</v>
      </c>
      <c r="M20" s="14">
        <v>1271.5899999999999</v>
      </c>
      <c r="N20" s="14">
        <v>11662.439999999999</v>
      </c>
      <c r="O20" s="14">
        <f t="shared" si="0"/>
        <v>11662.44</v>
      </c>
      <c r="Q20" s="113" t="s">
        <v>201</v>
      </c>
      <c r="R20" s="144">
        <v>485590.35000000003</v>
      </c>
      <c r="S20" s="145">
        <f t="shared" si="1"/>
        <v>1</v>
      </c>
    </row>
    <row r="21" spans="1:19" x14ac:dyDescent="0.25">
      <c r="A21" s="13" t="s">
        <v>23</v>
      </c>
      <c r="B21" s="14">
        <v>119.33000000000001</v>
      </c>
      <c r="C21" s="14">
        <v>1700.5900000000001</v>
      </c>
      <c r="D21" s="14">
        <v>100.33999999999999</v>
      </c>
      <c r="E21" s="14">
        <v>8009.68</v>
      </c>
      <c r="F21" s="14">
        <v>93.02000000000001</v>
      </c>
      <c r="G21" s="14">
        <v>99.11</v>
      </c>
      <c r="H21" s="14">
        <v>126.89</v>
      </c>
      <c r="I21" s="14">
        <v>62.310000000000009</v>
      </c>
      <c r="J21" s="14">
        <v>612.37000000000012</v>
      </c>
      <c r="K21" s="14">
        <v>0.15</v>
      </c>
      <c r="L21" s="14">
        <v>4177.7400000000016</v>
      </c>
      <c r="M21" s="14">
        <v>1262.1600000000003</v>
      </c>
      <c r="N21" s="14">
        <v>16363.689999999997</v>
      </c>
      <c r="O21" s="14">
        <f t="shared" si="0"/>
        <v>16363.690000000002</v>
      </c>
    </row>
    <row r="22" spans="1:19" x14ac:dyDescent="0.25">
      <c r="A22" s="13" t="s">
        <v>24</v>
      </c>
      <c r="B22" s="14">
        <v>2029.8899999999996</v>
      </c>
      <c r="C22" s="14">
        <v>1486.95</v>
      </c>
      <c r="D22" s="14">
        <v>6388.9800000000005</v>
      </c>
      <c r="E22" s="14">
        <v>3260.5000000000005</v>
      </c>
      <c r="F22" s="14">
        <v>1333.1699999999998</v>
      </c>
      <c r="G22" s="14">
        <v>1382.9600000000003</v>
      </c>
      <c r="H22" s="14">
        <v>848.87999999999988</v>
      </c>
      <c r="I22" s="14">
        <v>537.12000000000046</v>
      </c>
      <c r="J22" s="14">
        <v>967.14999999999986</v>
      </c>
      <c r="K22" s="14">
        <v>290.8900000000001</v>
      </c>
      <c r="L22" s="14">
        <v>2999.2900000000018</v>
      </c>
      <c r="M22" s="14">
        <v>1352.6399999999999</v>
      </c>
      <c r="N22" s="14">
        <v>22878.420000000002</v>
      </c>
      <c r="O22" s="14">
        <f t="shared" si="0"/>
        <v>22878.420000000002</v>
      </c>
    </row>
    <row r="23" spans="1:19" x14ac:dyDescent="0.25">
      <c r="A23" s="119" t="s">
        <v>53</v>
      </c>
      <c r="B23" s="120">
        <v>474.1</v>
      </c>
      <c r="C23" s="120">
        <v>375.07000000000011</v>
      </c>
      <c r="D23" s="120">
        <v>162.41000000000005</v>
      </c>
      <c r="E23" s="120">
        <v>153.79</v>
      </c>
      <c r="F23" s="120">
        <v>43.269999999999996</v>
      </c>
      <c r="G23" s="120">
        <v>74.400000000000006</v>
      </c>
      <c r="H23" s="120">
        <v>177.97</v>
      </c>
      <c r="I23" s="120">
        <v>10.61</v>
      </c>
      <c r="J23" s="120">
        <v>3.13</v>
      </c>
      <c r="K23" s="120">
        <v>22.27</v>
      </c>
      <c r="L23" s="120">
        <v>3.47</v>
      </c>
      <c r="M23" s="120">
        <v>883.40999999999985</v>
      </c>
      <c r="N23" s="120">
        <v>2383.9</v>
      </c>
      <c r="O23" s="120">
        <f t="shared" si="0"/>
        <v>2383.9</v>
      </c>
    </row>
    <row r="24" spans="1:19" x14ac:dyDescent="0.25">
      <c r="A24" s="13" t="s">
        <v>34</v>
      </c>
      <c r="B24" s="14">
        <v>10.780000000000001</v>
      </c>
      <c r="C24" s="14">
        <v>0.56000000000000005</v>
      </c>
      <c r="D24" s="14"/>
      <c r="E24" s="14">
        <v>4.5599999999999996</v>
      </c>
      <c r="F24" s="14"/>
      <c r="G24" s="14"/>
      <c r="H24" s="14"/>
      <c r="I24" s="14"/>
      <c r="J24" s="14"/>
      <c r="K24" s="14"/>
      <c r="L24" s="14"/>
      <c r="M24" s="14">
        <v>32.25</v>
      </c>
      <c r="N24" s="14">
        <v>48.15</v>
      </c>
      <c r="O24" s="14">
        <f t="shared" si="0"/>
        <v>48.150000000000006</v>
      </c>
    </row>
    <row r="25" spans="1:19" x14ac:dyDescent="0.25">
      <c r="A25" s="13" t="s">
        <v>35</v>
      </c>
      <c r="B25" s="14">
        <v>2.54</v>
      </c>
      <c r="C25" s="14">
        <v>14.139999999999999</v>
      </c>
      <c r="D25" s="14">
        <v>5.1399999999999988</v>
      </c>
      <c r="E25" s="14">
        <v>16.519999999999996</v>
      </c>
      <c r="F25" s="14"/>
      <c r="G25" s="14">
        <v>0.72</v>
      </c>
      <c r="H25" s="14">
        <v>1.76</v>
      </c>
      <c r="I25" s="14">
        <v>0.15</v>
      </c>
      <c r="J25" s="14">
        <v>0.11</v>
      </c>
      <c r="K25" s="14"/>
      <c r="L25" s="14"/>
      <c r="M25" s="14">
        <v>98.12</v>
      </c>
      <c r="N25" s="14">
        <v>139.19999999999999</v>
      </c>
      <c r="O25" s="14">
        <f t="shared" si="0"/>
        <v>139.19999999999999</v>
      </c>
    </row>
    <row r="26" spans="1:19" x14ac:dyDescent="0.25">
      <c r="A26" s="13" t="s">
        <v>36</v>
      </c>
      <c r="B26" s="14">
        <v>34.299999999999997</v>
      </c>
      <c r="C26" s="14">
        <v>0.92</v>
      </c>
      <c r="D26" s="14">
        <v>0.31</v>
      </c>
      <c r="E26" s="14">
        <v>3.33</v>
      </c>
      <c r="F26" s="14">
        <v>22.029999999999998</v>
      </c>
      <c r="G26" s="14"/>
      <c r="H26" s="14"/>
      <c r="I26" s="14"/>
      <c r="J26" s="14"/>
      <c r="K26" s="14"/>
      <c r="L26" s="14"/>
      <c r="M26" s="14">
        <v>11.290000000000001</v>
      </c>
      <c r="N26" s="14">
        <v>72.180000000000007</v>
      </c>
      <c r="O26" s="14">
        <f t="shared" si="0"/>
        <v>72.180000000000007</v>
      </c>
    </row>
    <row r="27" spans="1:19" x14ac:dyDescent="0.25">
      <c r="A27" s="13" t="s">
        <v>37</v>
      </c>
      <c r="B27" s="14">
        <v>0.65</v>
      </c>
      <c r="C27" s="14">
        <v>2.08</v>
      </c>
      <c r="D27" s="14">
        <v>1.03</v>
      </c>
      <c r="E27" s="14">
        <v>0.79</v>
      </c>
      <c r="F27" s="14"/>
      <c r="G27" s="14"/>
      <c r="H27" s="14"/>
      <c r="I27" s="14"/>
      <c r="J27" s="14"/>
      <c r="K27" s="14">
        <v>7.0000000000000007E-2</v>
      </c>
      <c r="L27" s="14">
        <v>0.41</v>
      </c>
      <c r="M27" s="14">
        <v>26.419999999999998</v>
      </c>
      <c r="N27" s="14">
        <v>31.450000000000003</v>
      </c>
      <c r="O27" s="14">
        <f t="shared" si="0"/>
        <v>31.45</v>
      </c>
    </row>
    <row r="28" spans="1:19" x14ac:dyDescent="0.25">
      <c r="A28" s="13" t="s">
        <v>38</v>
      </c>
      <c r="B28" s="14">
        <v>6.9599999999999991</v>
      </c>
      <c r="C28" s="14">
        <v>294.54000000000013</v>
      </c>
      <c r="D28" s="14">
        <v>75.2</v>
      </c>
      <c r="E28" s="14">
        <v>91.919999999999973</v>
      </c>
      <c r="F28" s="14">
        <v>1.37</v>
      </c>
      <c r="G28" s="14">
        <v>6.83</v>
      </c>
      <c r="H28" s="14">
        <v>37.080000000000005</v>
      </c>
      <c r="I28" s="14">
        <v>4.3599999999999994</v>
      </c>
      <c r="J28" s="14"/>
      <c r="K28" s="14"/>
      <c r="L28" s="14"/>
      <c r="M28" s="14">
        <v>85.419999999999987</v>
      </c>
      <c r="N28" s="14">
        <v>603.68000000000018</v>
      </c>
      <c r="O28" s="14">
        <f t="shared" si="0"/>
        <v>603.68000000000006</v>
      </c>
    </row>
    <row r="29" spans="1:19" x14ac:dyDescent="0.25">
      <c r="A29" s="13" t="s">
        <v>39</v>
      </c>
      <c r="B29" s="14">
        <v>1.66</v>
      </c>
      <c r="C29" s="14">
        <v>0.24000000000000002</v>
      </c>
      <c r="D29" s="14">
        <v>0.61</v>
      </c>
      <c r="E29" s="14">
        <v>1.3699999999999999</v>
      </c>
      <c r="F29" s="14"/>
      <c r="G29" s="14"/>
      <c r="H29" s="14"/>
      <c r="I29" s="14">
        <v>0.09</v>
      </c>
      <c r="J29" s="14"/>
      <c r="K29" s="14"/>
      <c r="L29" s="14"/>
      <c r="M29" s="14">
        <v>5.17</v>
      </c>
      <c r="N29" s="14">
        <v>9.14</v>
      </c>
      <c r="O29" s="14">
        <f t="shared" si="0"/>
        <v>9.14</v>
      </c>
    </row>
    <row r="30" spans="1:19" x14ac:dyDescent="0.25">
      <c r="A30" s="13" t="s">
        <v>40</v>
      </c>
      <c r="B30" s="14">
        <v>147.49</v>
      </c>
      <c r="C30" s="14">
        <v>49</v>
      </c>
      <c r="D30" s="14">
        <v>73.79000000000002</v>
      </c>
      <c r="E30" s="14">
        <v>27.529999999999998</v>
      </c>
      <c r="F30" s="14">
        <v>1.24</v>
      </c>
      <c r="G30" s="14">
        <v>61.860000000000007</v>
      </c>
      <c r="H30" s="14"/>
      <c r="I30" s="14">
        <v>3.74</v>
      </c>
      <c r="J30" s="14"/>
      <c r="K30" s="14"/>
      <c r="L30" s="14">
        <v>3.06</v>
      </c>
      <c r="M30" s="14">
        <v>36.950000000000003</v>
      </c>
      <c r="N30" s="14">
        <v>404.66000000000008</v>
      </c>
      <c r="O30" s="14">
        <f t="shared" si="0"/>
        <v>404.66</v>
      </c>
    </row>
    <row r="31" spans="1:19" x14ac:dyDescent="0.25">
      <c r="A31" s="13" t="s">
        <v>41</v>
      </c>
      <c r="B31" s="14">
        <v>177.86000000000004</v>
      </c>
      <c r="C31" s="14">
        <v>5.28</v>
      </c>
      <c r="D31" s="14">
        <v>5.83</v>
      </c>
      <c r="E31" s="14">
        <v>5.3400000000000007</v>
      </c>
      <c r="F31" s="14">
        <v>7.6</v>
      </c>
      <c r="G31" s="14">
        <v>0.36</v>
      </c>
      <c r="H31" s="14">
        <v>34.590000000000003</v>
      </c>
      <c r="I31" s="14">
        <v>2.13</v>
      </c>
      <c r="J31" s="14">
        <v>1.52</v>
      </c>
      <c r="K31" s="14">
        <v>22.2</v>
      </c>
      <c r="L31" s="14"/>
      <c r="M31" s="14">
        <v>303.95</v>
      </c>
      <c r="N31" s="14">
        <v>566.66000000000008</v>
      </c>
      <c r="O31" s="14">
        <f t="shared" si="0"/>
        <v>566.66000000000008</v>
      </c>
    </row>
    <row r="32" spans="1:19" x14ac:dyDescent="0.25">
      <c r="A32" s="13" t="s">
        <v>42</v>
      </c>
      <c r="B32" s="14">
        <v>91.860000000000014</v>
      </c>
      <c r="C32" s="14">
        <v>8.31</v>
      </c>
      <c r="D32" s="14">
        <v>0.5</v>
      </c>
      <c r="E32" s="14">
        <v>2.4299999999999997</v>
      </c>
      <c r="F32" s="14">
        <v>11.030000000000001</v>
      </c>
      <c r="G32" s="14">
        <v>4.63</v>
      </c>
      <c r="H32" s="14">
        <v>104.53999999999999</v>
      </c>
      <c r="I32" s="14">
        <v>0.14000000000000001</v>
      </c>
      <c r="J32" s="14">
        <v>1.5</v>
      </c>
      <c r="K32" s="14"/>
      <c r="L32" s="14"/>
      <c r="M32" s="14">
        <v>283.83999999999997</v>
      </c>
      <c r="N32" s="14">
        <v>508.78000000000009</v>
      </c>
      <c r="O32" s="14">
        <f t="shared" si="0"/>
        <v>508.78</v>
      </c>
    </row>
    <row r="33" spans="1:15" x14ac:dyDescent="0.25">
      <c r="A33" s="119" t="s">
        <v>52</v>
      </c>
      <c r="B33" s="120">
        <v>41738.359999999993</v>
      </c>
      <c r="C33" s="120">
        <v>7759.08</v>
      </c>
      <c r="D33" s="120">
        <v>10296.719999999996</v>
      </c>
      <c r="E33" s="120">
        <v>2734.1200000000003</v>
      </c>
      <c r="F33" s="120">
        <v>14792.09</v>
      </c>
      <c r="G33" s="120">
        <v>1941.2199999999998</v>
      </c>
      <c r="H33" s="120">
        <v>7598.01</v>
      </c>
      <c r="I33" s="120">
        <v>2039.3100000000002</v>
      </c>
      <c r="J33" s="120">
        <v>2080.11</v>
      </c>
      <c r="K33" s="120">
        <v>4022.7300000000009</v>
      </c>
      <c r="L33" s="120">
        <v>10624.08</v>
      </c>
      <c r="M33" s="120">
        <v>17002.439999999999</v>
      </c>
      <c r="N33" s="120">
        <v>122628.56999999998</v>
      </c>
      <c r="O33" s="120">
        <f t="shared" si="0"/>
        <v>122628.26999999999</v>
      </c>
    </row>
    <row r="34" spans="1:15" x14ac:dyDescent="0.25">
      <c r="A34" s="13" t="s">
        <v>29</v>
      </c>
      <c r="B34" s="14">
        <v>23615.14</v>
      </c>
      <c r="C34" s="14">
        <v>5233.4000000000005</v>
      </c>
      <c r="D34" s="14">
        <v>5231.8499999999976</v>
      </c>
      <c r="E34" s="14">
        <v>1961.79</v>
      </c>
      <c r="F34" s="14">
        <v>8287.52</v>
      </c>
      <c r="G34" s="14">
        <v>1440.52</v>
      </c>
      <c r="H34" s="14">
        <v>1473.9999999999998</v>
      </c>
      <c r="I34" s="14">
        <v>984.88</v>
      </c>
      <c r="J34" s="14">
        <v>1078.5500000000002</v>
      </c>
      <c r="K34" s="14">
        <v>2410.3800000000006</v>
      </c>
      <c r="L34" s="14">
        <v>4183.53</v>
      </c>
      <c r="M34" s="14">
        <v>7281.48</v>
      </c>
      <c r="N34" s="14">
        <v>63183.039999999994</v>
      </c>
      <c r="O34" s="14">
        <f t="shared" si="0"/>
        <v>63183.039999999994</v>
      </c>
    </row>
    <row r="35" spans="1:15" x14ac:dyDescent="0.25">
      <c r="A35" s="13" t="s">
        <v>30</v>
      </c>
      <c r="B35" s="14">
        <v>5346.47</v>
      </c>
      <c r="C35" s="14">
        <v>712.26999999999987</v>
      </c>
      <c r="D35" s="14">
        <v>220.51000000000002</v>
      </c>
      <c r="E35" s="14">
        <v>238.59</v>
      </c>
      <c r="F35" s="14">
        <v>1615.45</v>
      </c>
      <c r="G35" s="14">
        <v>58.289999999999992</v>
      </c>
      <c r="H35" s="14">
        <v>1067.7</v>
      </c>
      <c r="I35" s="14">
        <v>12.42</v>
      </c>
      <c r="J35" s="14">
        <v>130.71</v>
      </c>
      <c r="K35" s="14">
        <v>499.55</v>
      </c>
      <c r="L35" s="14">
        <v>1957.1799999999998</v>
      </c>
      <c r="M35" s="14">
        <v>2423.0499999999993</v>
      </c>
      <c r="N35" s="14">
        <v>14282.190000000002</v>
      </c>
      <c r="O35" s="14">
        <f t="shared" si="0"/>
        <v>14282.189999999999</v>
      </c>
    </row>
    <row r="36" spans="1:15" x14ac:dyDescent="0.25">
      <c r="A36" s="13" t="s">
        <v>31</v>
      </c>
      <c r="B36" s="14">
        <v>5285.7700000000013</v>
      </c>
      <c r="C36" s="14">
        <v>1229.4100000000001</v>
      </c>
      <c r="D36" s="14">
        <v>4343.5099999999984</v>
      </c>
      <c r="E36" s="14">
        <v>205.00000000000006</v>
      </c>
      <c r="F36" s="14">
        <v>3505.7799999999997</v>
      </c>
      <c r="G36" s="14">
        <v>228.53000000000003</v>
      </c>
      <c r="H36" s="14">
        <v>2642.1400000000003</v>
      </c>
      <c r="I36" s="14">
        <v>957.31000000000006</v>
      </c>
      <c r="J36" s="14">
        <v>439.48999999999995</v>
      </c>
      <c r="K36" s="14">
        <v>629.35</v>
      </c>
      <c r="L36" s="14">
        <v>1793.6600000000005</v>
      </c>
      <c r="M36" s="14">
        <v>4256.1400000000003</v>
      </c>
      <c r="N36" s="14">
        <v>25516.089999999989</v>
      </c>
      <c r="O36" s="14">
        <f t="shared" si="0"/>
        <v>25516.09</v>
      </c>
    </row>
    <row r="37" spans="1:15" x14ac:dyDescent="0.25">
      <c r="A37" s="13" t="s">
        <v>32</v>
      </c>
      <c r="B37" s="14">
        <v>79.110000000000014</v>
      </c>
      <c r="C37" s="14">
        <v>20.39</v>
      </c>
      <c r="D37" s="14">
        <v>11.23</v>
      </c>
      <c r="E37" s="14">
        <v>32.29999999999999</v>
      </c>
      <c r="F37" s="14">
        <v>21.060000000000002</v>
      </c>
      <c r="G37" s="14">
        <v>0.82000000000000006</v>
      </c>
      <c r="H37" s="14">
        <v>3.02</v>
      </c>
      <c r="I37" s="14">
        <v>0.44</v>
      </c>
      <c r="J37" s="14">
        <v>1.1900000000000002</v>
      </c>
      <c r="K37" s="14">
        <v>0.09</v>
      </c>
      <c r="L37" s="14">
        <v>100.57000000000001</v>
      </c>
      <c r="M37" s="14">
        <v>101.92999999999999</v>
      </c>
      <c r="N37" s="14">
        <v>372.15000000000003</v>
      </c>
      <c r="O37" s="14">
        <f t="shared" si="0"/>
        <v>372.15000000000003</v>
      </c>
    </row>
    <row r="38" spans="1:15" x14ac:dyDescent="0.25">
      <c r="A38" s="13" t="s">
        <v>33</v>
      </c>
      <c r="B38" s="14">
        <v>7414.4799999999977</v>
      </c>
      <c r="C38" s="14">
        <v>563.61</v>
      </c>
      <c r="D38" s="14">
        <v>489.62000000000006</v>
      </c>
      <c r="E38" s="14">
        <v>296.44</v>
      </c>
      <c r="F38" s="14">
        <v>1362.28</v>
      </c>
      <c r="G38" s="14">
        <v>213.05999999999997</v>
      </c>
      <c r="H38" s="14">
        <v>2411.15</v>
      </c>
      <c r="I38" s="14">
        <v>84.259999999999991</v>
      </c>
      <c r="J38" s="14">
        <v>430.1699999999999</v>
      </c>
      <c r="K38" s="14">
        <v>483.36</v>
      </c>
      <c r="L38" s="14">
        <v>2589.1400000000003</v>
      </c>
      <c r="M38" s="14">
        <v>2939.8399999999997</v>
      </c>
      <c r="N38" s="14">
        <v>19275.100000000006</v>
      </c>
      <c r="O38" s="14">
        <f t="shared" si="0"/>
        <v>19277.41</v>
      </c>
    </row>
    <row r="39" spans="1:15" x14ac:dyDescent="0.25">
      <c r="A39" s="119" t="s">
        <v>51</v>
      </c>
      <c r="B39" s="120">
        <f>SUM(B40:B43)</f>
        <v>346.41</v>
      </c>
      <c r="C39" s="120">
        <f t="shared" ref="C39:L39" si="3">SUM(C40:C43)</f>
        <v>10512.410000000002</v>
      </c>
      <c r="D39" s="120">
        <f t="shared" si="3"/>
        <v>6574.0799999999981</v>
      </c>
      <c r="E39" s="120">
        <f t="shared" si="3"/>
        <v>2623.6299999999997</v>
      </c>
      <c r="F39" s="120">
        <f t="shared" si="3"/>
        <v>60.109999999999992</v>
      </c>
      <c r="G39" s="120">
        <f t="shared" si="3"/>
        <v>926.21</v>
      </c>
      <c r="H39" s="120">
        <f t="shared" si="3"/>
        <v>455.64</v>
      </c>
      <c r="I39" s="120">
        <f t="shared" si="3"/>
        <v>149.42999999999998</v>
      </c>
      <c r="J39" s="120">
        <f t="shared" si="3"/>
        <v>443.46</v>
      </c>
      <c r="K39" s="120">
        <f t="shared" si="3"/>
        <v>25.71</v>
      </c>
      <c r="L39" s="120">
        <f t="shared" si="3"/>
        <v>42.129999999999995</v>
      </c>
      <c r="M39" s="120">
        <v>1108.4000000000001</v>
      </c>
      <c r="N39" s="120">
        <v>23267.620000000003</v>
      </c>
      <c r="O39" s="120">
        <f t="shared" si="0"/>
        <v>23267.620000000003</v>
      </c>
    </row>
    <row r="40" spans="1:15" x14ac:dyDescent="0.25">
      <c r="A40" s="13" t="s">
        <v>25</v>
      </c>
      <c r="B40" s="14">
        <v>6.15</v>
      </c>
      <c r="C40" s="14">
        <v>97.039999999999992</v>
      </c>
      <c r="D40" s="14">
        <v>354.92000000000007</v>
      </c>
      <c r="E40" s="14">
        <v>54.800000000000011</v>
      </c>
      <c r="F40" s="14">
        <v>0.89</v>
      </c>
      <c r="G40" s="14">
        <v>16.869999999999997</v>
      </c>
      <c r="H40" s="14">
        <v>10.979999999999999</v>
      </c>
      <c r="I40" s="14">
        <v>9.23</v>
      </c>
      <c r="J40" s="14">
        <v>4.24</v>
      </c>
      <c r="K40" s="14"/>
      <c r="L40" s="14"/>
      <c r="M40" s="14">
        <v>18.080000000000002</v>
      </c>
      <c r="N40" s="14">
        <v>573.20000000000027</v>
      </c>
      <c r="O40" s="14">
        <f t="shared" si="0"/>
        <v>573.20000000000016</v>
      </c>
    </row>
    <row r="41" spans="1:15" x14ac:dyDescent="0.25">
      <c r="A41" s="13" t="s">
        <v>26</v>
      </c>
      <c r="B41" s="14">
        <v>0.71</v>
      </c>
      <c r="C41" s="14">
        <v>1.7200000000000002</v>
      </c>
      <c r="D41" s="14">
        <v>0.35</v>
      </c>
      <c r="E41" s="14">
        <v>3.7699999999999996</v>
      </c>
      <c r="F41" s="14">
        <v>0.04</v>
      </c>
      <c r="G41" s="14">
        <v>0.18</v>
      </c>
      <c r="H41" s="14">
        <v>1.1100000000000001</v>
      </c>
      <c r="I41" s="14"/>
      <c r="J41" s="14"/>
      <c r="K41" s="14"/>
      <c r="L41" s="14"/>
      <c r="M41" s="14">
        <v>1.8699999999999997</v>
      </c>
      <c r="N41" s="14">
        <v>9.75</v>
      </c>
      <c r="O41" s="14">
        <f t="shared" si="0"/>
        <v>9.75</v>
      </c>
    </row>
    <row r="42" spans="1:15" x14ac:dyDescent="0.25">
      <c r="A42" s="13" t="s">
        <v>27</v>
      </c>
      <c r="B42" s="14">
        <v>186.48999999999998</v>
      </c>
      <c r="C42" s="14">
        <v>4259.8500000000004</v>
      </c>
      <c r="D42" s="14">
        <v>5101.239999999998</v>
      </c>
      <c r="E42" s="14">
        <v>524.91999999999985</v>
      </c>
      <c r="F42" s="14">
        <v>52.929999999999993</v>
      </c>
      <c r="G42" s="14">
        <v>277.22999999999996</v>
      </c>
      <c r="H42" s="14">
        <v>194.50999999999996</v>
      </c>
      <c r="I42" s="14">
        <v>123.28</v>
      </c>
      <c r="J42" s="14">
        <v>116.86999999999998</v>
      </c>
      <c r="K42" s="14">
        <v>16</v>
      </c>
      <c r="L42" s="14">
        <v>13.44</v>
      </c>
      <c r="M42" s="14">
        <v>298.93</v>
      </c>
      <c r="N42" s="14">
        <v>11165.690000000002</v>
      </c>
      <c r="O42" s="14">
        <f t="shared" si="0"/>
        <v>11165.69</v>
      </c>
    </row>
    <row r="43" spans="1:15" x14ac:dyDescent="0.25">
      <c r="A43" s="13" t="s">
        <v>28</v>
      </c>
      <c r="B43" s="14">
        <v>153.06000000000003</v>
      </c>
      <c r="C43" s="14">
        <v>6153.8000000000011</v>
      </c>
      <c r="D43" s="14">
        <v>1117.5699999999995</v>
      </c>
      <c r="E43" s="14">
        <v>2040.1399999999999</v>
      </c>
      <c r="F43" s="14">
        <v>6.25</v>
      </c>
      <c r="G43" s="14">
        <v>631.93000000000006</v>
      </c>
      <c r="H43" s="14">
        <v>249.04</v>
      </c>
      <c r="I43" s="14">
        <v>16.919999999999998</v>
      </c>
      <c r="J43" s="14">
        <v>322.35000000000002</v>
      </c>
      <c r="K43" s="14">
        <v>9.7100000000000009</v>
      </c>
      <c r="L43" s="14">
        <v>28.689999999999998</v>
      </c>
      <c r="M43" s="14">
        <v>789.52</v>
      </c>
      <c r="N43" s="14">
        <v>11518.98</v>
      </c>
      <c r="O43" s="14">
        <f t="shared" si="0"/>
        <v>11518.980000000003</v>
      </c>
    </row>
    <row r="44" spans="1:15" x14ac:dyDescent="0.25">
      <c r="A44" s="119" t="s">
        <v>54</v>
      </c>
      <c r="B44" s="120">
        <v>1803.4299999999996</v>
      </c>
      <c r="C44" s="120">
        <v>134.17999999999998</v>
      </c>
      <c r="D44" s="120">
        <v>115.81</v>
      </c>
      <c r="E44" s="120">
        <v>214.42</v>
      </c>
      <c r="F44" s="120">
        <v>714.93999999999994</v>
      </c>
      <c r="G44" s="120">
        <v>37.89</v>
      </c>
      <c r="H44" s="120">
        <v>121.3</v>
      </c>
      <c r="I44" s="120">
        <v>9.27</v>
      </c>
      <c r="J44" s="120">
        <v>18.71</v>
      </c>
      <c r="K44" s="120">
        <v>237.21</v>
      </c>
      <c r="L44" s="120">
        <v>129.04</v>
      </c>
      <c r="M44" s="120">
        <v>799.81999999999994</v>
      </c>
      <c r="N44" s="120">
        <v>4336.0200000000004</v>
      </c>
      <c r="O44" s="120">
        <f t="shared" si="0"/>
        <v>4336.0199999999995</v>
      </c>
    </row>
    <row r="45" spans="1:15" x14ac:dyDescent="0.25">
      <c r="A45" s="13" t="s">
        <v>43</v>
      </c>
      <c r="B45" s="14">
        <v>1754.4099999999996</v>
      </c>
      <c r="C45" s="14">
        <v>118.90999999999998</v>
      </c>
      <c r="D45" s="14">
        <v>105.61</v>
      </c>
      <c r="E45" s="14">
        <v>74.38</v>
      </c>
      <c r="F45" s="14">
        <v>695.15</v>
      </c>
      <c r="G45" s="14">
        <v>37.160000000000004</v>
      </c>
      <c r="H45" s="14">
        <v>114.39</v>
      </c>
      <c r="I45" s="14">
        <v>9.27</v>
      </c>
      <c r="J45" s="14">
        <v>17.96</v>
      </c>
      <c r="K45" s="14">
        <v>230.34</v>
      </c>
      <c r="L45" s="14">
        <v>56.110000000000007</v>
      </c>
      <c r="M45" s="14">
        <v>714.14</v>
      </c>
      <c r="N45" s="14">
        <v>3927.8300000000008</v>
      </c>
      <c r="O45" s="14">
        <f t="shared" si="0"/>
        <v>3927.8299999999995</v>
      </c>
    </row>
    <row r="46" spans="1:15" x14ac:dyDescent="0.25">
      <c r="A46" s="13" t="s">
        <v>44</v>
      </c>
      <c r="B46" s="14">
        <v>49.019999999999996</v>
      </c>
      <c r="C46" s="14">
        <v>15.27</v>
      </c>
      <c r="D46" s="14">
        <v>10.199999999999999</v>
      </c>
      <c r="E46" s="14">
        <v>140.04</v>
      </c>
      <c r="F46" s="14">
        <v>19.79</v>
      </c>
      <c r="G46" s="14">
        <v>0.73</v>
      </c>
      <c r="H46" s="14">
        <v>6.9099999999999984</v>
      </c>
      <c r="I46" s="14"/>
      <c r="J46" s="14">
        <v>0.75</v>
      </c>
      <c r="K46" s="14">
        <v>6.87</v>
      </c>
      <c r="L46" s="14">
        <v>72.929999999999993</v>
      </c>
      <c r="M46" s="14">
        <v>85.68</v>
      </c>
      <c r="N46" s="14">
        <v>408.19000000000005</v>
      </c>
      <c r="O46" s="14">
        <f t="shared" si="0"/>
        <v>408.18999999999994</v>
      </c>
    </row>
    <row r="47" spans="1:15" x14ac:dyDescent="0.25">
      <c r="A47" s="119" t="s">
        <v>75</v>
      </c>
      <c r="B47" s="120">
        <v>49.91</v>
      </c>
      <c r="C47" s="120"/>
      <c r="D47" s="120"/>
      <c r="E47" s="120">
        <v>2.48</v>
      </c>
      <c r="F47" s="120"/>
      <c r="G47" s="120">
        <v>3.08</v>
      </c>
      <c r="H47" s="120">
        <v>1.62</v>
      </c>
      <c r="I47" s="120"/>
      <c r="J47" s="120"/>
      <c r="K47" s="120"/>
      <c r="L47" s="120">
        <v>1959.8300000000002</v>
      </c>
      <c r="M47" s="120">
        <v>24.900000000000002</v>
      </c>
      <c r="N47" s="120">
        <v>2041.82</v>
      </c>
      <c r="O47" s="120">
        <f t="shared" si="0"/>
        <v>2041.8200000000002</v>
      </c>
    </row>
    <row r="48" spans="1:15" x14ac:dyDescent="0.25">
      <c r="A48" s="13" t="s">
        <v>76</v>
      </c>
      <c r="B48" s="14">
        <v>49.91</v>
      </c>
      <c r="C48" s="14"/>
      <c r="D48" s="14"/>
      <c r="E48" s="14">
        <v>2.48</v>
      </c>
      <c r="F48" s="14"/>
      <c r="G48" s="14">
        <v>3.08</v>
      </c>
      <c r="H48" s="14">
        <v>1.62</v>
      </c>
      <c r="I48" s="14"/>
      <c r="J48" s="14"/>
      <c r="K48" s="14"/>
      <c r="L48" s="14">
        <v>1959.8300000000002</v>
      </c>
      <c r="M48" s="14">
        <v>24.900000000000002</v>
      </c>
      <c r="N48" s="14">
        <v>2041.82</v>
      </c>
      <c r="O48" s="14">
        <f t="shared" si="0"/>
        <v>2041.8200000000002</v>
      </c>
    </row>
    <row r="49" spans="1:15" x14ac:dyDescent="0.25">
      <c r="A49" s="119" t="s">
        <v>55</v>
      </c>
      <c r="B49" s="120">
        <v>711.04000000000008</v>
      </c>
      <c r="C49" s="120">
        <v>273.46999999999997</v>
      </c>
      <c r="D49" s="120">
        <v>1779.2500000000007</v>
      </c>
      <c r="E49" s="120">
        <v>250.95999999999998</v>
      </c>
      <c r="F49" s="120">
        <v>279.99</v>
      </c>
      <c r="G49" s="120">
        <v>208.26000000000002</v>
      </c>
      <c r="H49" s="120">
        <v>213.85999999999999</v>
      </c>
      <c r="I49" s="120">
        <v>42.260000000000005</v>
      </c>
      <c r="J49" s="120">
        <v>125.65000000000005</v>
      </c>
      <c r="K49" s="120">
        <v>28.279999999999994</v>
      </c>
      <c r="L49" s="120">
        <v>1007.5299999999999</v>
      </c>
      <c r="M49" s="120">
        <v>399.07000000000011</v>
      </c>
      <c r="N49" s="120">
        <v>5319.6200000000008</v>
      </c>
      <c r="O49" s="120">
        <f t="shared" si="0"/>
        <v>5319.6200000000017</v>
      </c>
    </row>
    <row r="50" spans="1:15" x14ac:dyDescent="0.25">
      <c r="A50" s="13" t="s">
        <v>45</v>
      </c>
      <c r="B50" s="14">
        <v>711.04000000000008</v>
      </c>
      <c r="C50" s="14">
        <v>273.46999999999997</v>
      </c>
      <c r="D50" s="14">
        <v>1779.2500000000007</v>
      </c>
      <c r="E50" s="14">
        <v>250.95999999999998</v>
      </c>
      <c r="F50" s="14">
        <v>279.99</v>
      </c>
      <c r="G50" s="14">
        <v>208.26000000000002</v>
      </c>
      <c r="H50" s="14">
        <v>213.85999999999999</v>
      </c>
      <c r="I50" s="14">
        <v>42.260000000000005</v>
      </c>
      <c r="J50" s="14">
        <v>125.65000000000005</v>
      </c>
      <c r="K50" s="14">
        <v>28.279999999999994</v>
      </c>
      <c r="L50" s="14">
        <v>1007.5299999999999</v>
      </c>
      <c r="M50" s="14">
        <v>399.07000000000011</v>
      </c>
      <c r="N50" s="14">
        <v>5319.6200000000008</v>
      </c>
      <c r="O50" s="14">
        <f t="shared" si="0"/>
        <v>5319.6200000000017</v>
      </c>
    </row>
    <row r="51" spans="1:15" x14ac:dyDescent="0.25">
      <c r="A51" s="119" t="s">
        <v>80</v>
      </c>
      <c r="B51" s="120">
        <v>8.82</v>
      </c>
      <c r="C51" s="120">
        <v>1.9</v>
      </c>
      <c r="D51" s="120">
        <v>5.24</v>
      </c>
      <c r="E51" s="120">
        <v>0.85</v>
      </c>
      <c r="F51" s="120"/>
      <c r="G51" s="120"/>
      <c r="H51" s="120"/>
      <c r="I51" s="120"/>
      <c r="J51" s="120"/>
      <c r="K51" s="120">
        <v>24.73</v>
      </c>
      <c r="L51" s="120">
        <v>241.94</v>
      </c>
      <c r="M51" s="120">
        <v>14.829999999999998</v>
      </c>
      <c r="N51" s="120">
        <v>298.31</v>
      </c>
      <c r="O51" s="120">
        <f t="shared" si="0"/>
        <v>298.31</v>
      </c>
    </row>
    <row r="52" spans="1:15" x14ac:dyDescent="0.25">
      <c r="A52" s="13" t="s">
        <v>81</v>
      </c>
      <c r="B52" s="14">
        <v>8.82</v>
      </c>
      <c r="C52" s="14">
        <v>1.9</v>
      </c>
      <c r="D52" s="14">
        <v>5.24</v>
      </c>
      <c r="E52" s="14">
        <v>0.85</v>
      </c>
      <c r="F52" s="14"/>
      <c r="G52" s="14"/>
      <c r="H52" s="14"/>
      <c r="I52" s="14"/>
      <c r="J52" s="14"/>
      <c r="K52" s="14">
        <v>24.73</v>
      </c>
      <c r="L52" s="14">
        <v>241.94</v>
      </c>
      <c r="M52" s="14">
        <v>14.829999999999998</v>
      </c>
      <c r="N52" s="14">
        <v>298.31</v>
      </c>
      <c r="O52" s="14">
        <f t="shared" si="0"/>
        <v>298.31</v>
      </c>
    </row>
    <row r="53" spans="1:15" x14ac:dyDescent="0.25">
      <c r="A53" s="119" t="s">
        <v>56</v>
      </c>
      <c r="B53" s="120">
        <v>17556.95</v>
      </c>
      <c r="C53" s="120">
        <v>17632.419999999998</v>
      </c>
      <c r="D53" s="120">
        <v>5734.7699999999959</v>
      </c>
      <c r="E53" s="120">
        <v>4757.53</v>
      </c>
      <c r="F53" s="120">
        <v>948.31</v>
      </c>
      <c r="G53" s="120">
        <v>3490.3799999999997</v>
      </c>
      <c r="H53" s="120">
        <v>307.42999999999995</v>
      </c>
      <c r="I53" s="120">
        <v>2461.9799999999996</v>
      </c>
      <c r="J53" s="120">
        <v>1410.4399999999996</v>
      </c>
      <c r="K53" s="120">
        <v>1349.82</v>
      </c>
      <c r="L53" s="120">
        <v>2971.7099999999978</v>
      </c>
      <c r="M53" s="120">
        <v>13638.86</v>
      </c>
      <c r="N53" s="120">
        <v>72260.600000000006</v>
      </c>
      <c r="O53" s="120">
        <f t="shared" si="0"/>
        <v>72260.599999999991</v>
      </c>
    </row>
    <row r="54" spans="1:15" x14ac:dyDescent="0.25">
      <c r="A54" s="13" t="s">
        <v>46</v>
      </c>
      <c r="B54" s="14">
        <v>175556.95</v>
      </c>
      <c r="C54" s="14">
        <v>17632.419999999998</v>
      </c>
      <c r="D54" s="14">
        <v>5734.7699999999959</v>
      </c>
      <c r="E54" s="14">
        <v>4757.53</v>
      </c>
      <c r="F54" s="14">
        <v>948.31</v>
      </c>
      <c r="G54" s="14">
        <v>3490.3799999999997</v>
      </c>
      <c r="H54" s="14">
        <v>307.42999999999995</v>
      </c>
      <c r="I54" s="14">
        <v>2461.9799999999996</v>
      </c>
      <c r="J54" s="14">
        <v>1410.4399999999996</v>
      </c>
      <c r="K54" s="14">
        <v>1349.82</v>
      </c>
      <c r="L54" s="14">
        <v>2971.7099999999978</v>
      </c>
      <c r="M54" s="14">
        <v>13638.86</v>
      </c>
      <c r="N54" s="14">
        <v>72260.600000000006</v>
      </c>
      <c r="O54" s="14">
        <f t="shared" si="0"/>
        <v>230260.59999999998</v>
      </c>
    </row>
    <row r="55" spans="1:15" x14ac:dyDescent="0.25">
      <c r="A55" s="119" t="s">
        <v>57</v>
      </c>
      <c r="B55" s="120">
        <v>84.32</v>
      </c>
      <c r="C55" s="120">
        <v>40.980000000000004</v>
      </c>
      <c r="D55" s="120">
        <v>327.77999999999992</v>
      </c>
      <c r="E55" s="120">
        <v>61.03</v>
      </c>
      <c r="F55" s="120">
        <v>47.15</v>
      </c>
      <c r="G55" s="120">
        <v>39.949999999999996</v>
      </c>
      <c r="H55" s="120">
        <v>13.39</v>
      </c>
      <c r="I55" s="120"/>
      <c r="J55" s="120">
        <v>65.550000000000011</v>
      </c>
      <c r="K55" s="120">
        <v>9.41</v>
      </c>
      <c r="L55" s="120">
        <v>593.7600000000001</v>
      </c>
      <c r="M55" s="120">
        <v>49.129999999999995</v>
      </c>
      <c r="N55" s="120">
        <v>1332.4500000000003</v>
      </c>
      <c r="O55" s="120">
        <f t="shared" si="0"/>
        <v>1332.4499999999998</v>
      </c>
    </row>
    <row r="56" spans="1:15" x14ac:dyDescent="0.25">
      <c r="A56" s="13" t="s">
        <v>47</v>
      </c>
      <c r="B56" s="14">
        <v>84.32</v>
      </c>
      <c r="C56" s="14">
        <v>40.980000000000004</v>
      </c>
      <c r="D56" s="14">
        <v>327.77999999999992</v>
      </c>
      <c r="E56" s="14">
        <v>61.03</v>
      </c>
      <c r="F56" s="14">
        <v>47.15</v>
      </c>
      <c r="G56" s="14">
        <v>39.949999999999996</v>
      </c>
      <c r="H56" s="14">
        <v>13.39</v>
      </c>
      <c r="I56" s="14"/>
      <c r="J56" s="14">
        <v>65.550000000000011</v>
      </c>
      <c r="K56" s="14">
        <v>9.41</v>
      </c>
      <c r="L56" s="14">
        <v>593.7600000000001</v>
      </c>
      <c r="M56" s="14">
        <v>49.129999999999995</v>
      </c>
      <c r="N56" s="14">
        <v>1332.4500000000003</v>
      </c>
      <c r="O56" s="14">
        <f t="shared" si="0"/>
        <v>1332.4499999999998</v>
      </c>
    </row>
    <row r="57" spans="1:15" x14ac:dyDescent="0.25">
      <c r="A57" s="119" t="s">
        <v>58</v>
      </c>
      <c r="B57" s="120"/>
      <c r="C57" s="120"/>
      <c r="D57" s="120">
        <v>3.16</v>
      </c>
      <c r="E57" s="120">
        <v>7.5700000000000012</v>
      </c>
      <c r="F57" s="120"/>
      <c r="G57" s="120">
        <v>0.17</v>
      </c>
      <c r="H57" s="120"/>
      <c r="I57" s="120"/>
      <c r="J57" s="120"/>
      <c r="K57" s="120"/>
      <c r="L57" s="120">
        <v>0.62</v>
      </c>
      <c r="M57" s="120">
        <v>0.2</v>
      </c>
      <c r="N57" s="120">
        <v>11.72</v>
      </c>
      <c r="O57" s="120">
        <f t="shared" si="0"/>
        <v>11.719999999999999</v>
      </c>
    </row>
    <row r="58" spans="1:15" x14ac:dyDescent="0.25">
      <c r="A58" s="13" t="s">
        <v>48</v>
      </c>
      <c r="B58" s="14"/>
      <c r="C58" s="14"/>
      <c r="D58" s="14">
        <v>3.16</v>
      </c>
      <c r="E58" s="14">
        <v>7.5700000000000012</v>
      </c>
      <c r="F58" s="14"/>
      <c r="G58" s="14">
        <v>0.17</v>
      </c>
      <c r="H58" s="14"/>
      <c r="I58" s="14"/>
      <c r="J58" s="14"/>
      <c r="K58" s="14"/>
      <c r="L58" s="14">
        <v>0.62</v>
      </c>
      <c r="M58" s="14">
        <v>0.2</v>
      </c>
      <c r="N58" s="14">
        <v>11.72</v>
      </c>
      <c r="O58" s="14">
        <f t="shared" si="0"/>
        <v>11.719999999999999</v>
      </c>
    </row>
    <row r="59" spans="1:15" x14ac:dyDescent="0.25">
      <c r="A59" s="112" t="s">
        <v>59</v>
      </c>
      <c r="B59" s="115">
        <v>136760.59</v>
      </c>
      <c r="C59" s="115">
        <v>79192.87</v>
      </c>
      <c r="D59" s="115">
        <v>53642.59</v>
      </c>
      <c r="E59" s="115">
        <v>38546</v>
      </c>
      <c r="F59" s="115">
        <v>27840.46</v>
      </c>
      <c r="G59" s="115">
        <v>17617.47</v>
      </c>
      <c r="H59" s="115">
        <v>12782.74</v>
      </c>
      <c r="I59" s="115">
        <v>8174.81</v>
      </c>
      <c r="J59" s="115">
        <v>8293.8700000000008</v>
      </c>
      <c r="K59" s="115">
        <v>9314.67</v>
      </c>
      <c r="L59" s="115">
        <v>38251.910000000003</v>
      </c>
      <c r="M59" s="115">
        <v>55171.729999999989</v>
      </c>
      <c r="N59" s="115">
        <v>485590.35000000003</v>
      </c>
      <c r="O59" s="115">
        <f t="shared" si="0"/>
        <v>485589.70999999996</v>
      </c>
    </row>
    <row r="62" spans="1:15" ht="18.75" x14ac:dyDescent="0.3">
      <c r="A62" s="103" t="s">
        <v>93</v>
      </c>
    </row>
    <row r="63" spans="1:15" x14ac:dyDescent="0.25">
      <c r="A63" s="299" t="s">
        <v>94</v>
      </c>
      <c r="B63" s="318" t="s">
        <v>148</v>
      </c>
      <c r="C63" s="319"/>
      <c r="D63" s="319"/>
      <c r="E63" s="319"/>
      <c r="F63" s="319"/>
      <c r="G63" s="319"/>
      <c r="H63" s="319"/>
      <c r="I63" s="319"/>
      <c r="J63" s="319"/>
      <c r="K63" s="319"/>
      <c r="L63" s="319"/>
      <c r="M63" s="319"/>
      <c r="N63" s="319"/>
      <c r="O63" s="319"/>
    </row>
    <row r="64" spans="1:15" ht="33" customHeight="1" x14ac:dyDescent="0.25">
      <c r="A64" s="299"/>
      <c r="B64" s="118" t="s">
        <v>176</v>
      </c>
      <c r="C64" s="118" t="s">
        <v>178</v>
      </c>
      <c r="D64" s="118" t="s">
        <v>185</v>
      </c>
      <c r="E64" s="118" t="s">
        <v>183</v>
      </c>
      <c r="F64" s="118" t="s">
        <v>186</v>
      </c>
      <c r="G64" s="118" t="s">
        <v>188</v>
      </c>
      <c r="H64" s="118" t="s">
        <v>187</v>
      </c>
      <c r="I64" s="118" t="s">
        <v>184</v>
      </c>
      <c r="J64" s="118" t="s">
        <v>179</v>
      </c>
      <c r="K64" s="118" t="s">
        <v>177</v>
      </c>
      <c r="L64" s="118" t="s">
        <v>159</v>
      </c>
      <c r="M64" s="259" t="s">
        <v>298</v>
      </c>
      <c r="N64" s="121" t="s">
        <v>160</v>
      </c>
      <c r="O64" s="121" t="s">
        <v>299</v>
      </c>
    </row>
    <row r="65" spans="1:19" x14ac:dyDescent="0.25">
      <c r="A65" s="106" t="s">
        <v>49</v>
      </c>
      <c r="B65" s="108">
        <v>4045.65</v>
      </c>
      <c r="C65" s="108">
        <v>9060.41</v>
      </c>
      <c r="D65" s="108">
        <v>560.65</v>
      </c>
      <c r="E65" s="108">
        <v>785.84</v>
      </c>
      <c r="F65" s="108">
        <v>1787.88</v>
      </c>
      <c r="G65" s="108">
        <v>952.81</v>
      </c>
      <c r="H65" s="108">
        <v>642.55999999999995</v>
      </c>
      <c r="I65" s="108">
        <v>1753.91</v>
      </c>
      <c r="J65" s="108">
        <v>346.28</v>
      </c>
      <c r="K65" s="108">
        <v>366.99</v>
      </c>
      <c r="L65" s="108">
        <v>1287.8599999999999</v>
      </c>
      <c r="M65" s="108">
        <v>3214.5299999999997</v>
      </c>
      <c r="N65" s="108">
        <v>24805.370000000003</v>
      </c>
      <c r="O65" s="108">
        <f>SUM(B65:M65)</f>
        <v>24805.370000000003</v>
      </c>
    </row>
    <row r="66" spans="1:19" x14ac:dyDescent="0.25">
      <c r="A66" s="13" t="s">
        <v>11</v>
      </c>
      <c r="B66" s="14">
        <v>305.02</v>
      </c>
      <c r="C66" s="14">
        <v>42.85</v>
      </c>
      <c r="D66" s="14">
        <v>16.34</v>
      </c>
      <c r="E66" s="14">
        <v>238.7</v>
      </c>
      <c r="F66" s="14"/>
      <c r="G66" s="14">
        <v>18.55</v>
      </c>
      <c r="H66" s="14"/>
      <c r="I66" s="14">
        <v>18.43</v>
      </c>
      <c r="J66" s="14">
        <v>95.76</v>
      </c>
      <c r="K66" s="14">
        <v>39.36</v>
      </c>
      <c r="L66" s="14">
        <v>19.23</v>
      </c>
      <c r="M66" s="14">
        <v>158.73000000000002</v>
      </c>
      <c r="N66" s="14">
        <v>952.97000000000014</v>
      </c>
      <c r="O66" s="14">
        <f t="shared" ref="O66:O115" si="4">SUM(B66:M66)</f>
        <v>952.96999999999991</v>
      </c>
      <c r="Q66" s="311" t="s">
        <v>202</v>
      </c>
      <c r="R66" s="311"/>
      <c r="S66" s="311"/>
    </row>
    <row r="67" spans="1:19" x14ac:dyDescent="0.25">
      <c r="A67" s="13" t="s">
        <v>12</v>
      </c>
      <c r="B67" s="14">
        <v>16.82</v>
      </c>
      <c r="C67" s="14">
        <v>279.32</v>
      </c>
      <c r="D67" s="14"/>
      <c r="E67" s="14"/>
      <c r="F67" s="14">
        <v>120.33</v>
      </c>
      <c r="G67" s="14">
        <v>17.93</v>
      </c>
      <c r="H67" s="14">
        <v>13.49</v>
      </c>
      <c r="I67" s="14">
        <v>112.46000000000001</v>
      </c>
      <c r="J67" s="14">
        <v>0.51</v>
      </c>
      <c r="K67" s="14"/>
      <c r="L67" s="14">
        <v>59.48</v>
      </c>
      <c r="M67" s="14">
        <v>23.64</v>
      </c>
      <c r="N67" s="14">
        <v>643.02</v>
      </c>
      <c r="O67" s="14">
        <f t="shared" si="4"/>
        <v>643.98</v>
      </c>
      <c r="Q67" s="118" t="s">
        <v>176</v>
      </c>
      <c r="R67" s="14">
        <v>22227.46</v>
      </c>
      <c r="S67" s="26">
        <f t="shared" ref="S67:S79" si="5">R67/$R$79</f>
        <v>0.2251424875202821</v>
      </c>
    </row>
    <row r="68" spans="1:19" x14ac:dyDescent="0.25">
      <c r="A68" s="13" t="s">
        <v>13</v>
      </c>
      <c r="B68" s="14">
        <v>97.19</v>
      </c>
      <c r="C68" s="14">
        <v>2832.42</v>
      </c>
      <c r="D68" s="14">
        <v>12.63</v>
      </c>
      <c r="E68" s="14">
        <v>0.11</v>
      </c>
      <c r="F68" s="14">
        <v>844.46</v>
      </c>
      <c r="G68" s="14">
        <v>0.93</v>
      </c>
      <c r="H68" s="14">
        <v>154.51</v>
      </c>
      <c r="I68" s="14">
        <v>856.46</v>
      </c>
      <c r="J68" s="14">
        <v>7.0000000000000007E-2</v>
      </c>
      <c r="K68" s="14">
        <v>0.23</v>
      </c>
      <c r="L68" s="14">
        <v>274.87</v>
      </c>
      <c r="M68" s="14">
        <v>705.57</v>
      </c>
      <c r="N68" s="14">
        <v>5779.5599999999995</v>
      </c>
      <c r="O68" s="14">
        <f t="shared" si="4"/>
        <v>5779.4499999999989</v>
      </c>
      <c r="Q68" s="118" t="s">
        <v>178</v>
      </c>
      <c r="R68" s="14">
        <v>16535.52</v>
      </c>
      <c r="S68" s="26">
        <f t="shared" si="5"/>
        <v>0.16748868765218225</v>
      </c>
    </row>
    <row r="69" spans="1:19" x14ac:dyDescent="0.25">
      <c r="A69" s="13" t="s">
        <v>14</v>
      </c>
      <c r="B69" s="14">
        <v>2598.09</v>
      </c>
      <c r="C69" s="14">
        <v>821.81</v>
      </c>
      <c r="D69" s="14">
        <v>264.07</v>
      </c>
      <c r="E69" s="14">
        <v>471.11</v>
      </c>
      <c r="F69" s="14">
        <v>36.559999999999995</v>
      </c>
      <c r="G69" s="14">
        <v>212.79</v>
      </c>
      <c r="H69" s="14">
        <v>335.09</v>
      </c>
      <c r="I69" s="14">
        <v>163.97</v>
      </c>
      <c r="J69" s="14">
        <v>186.72</v>
      </c>
      <c r="K69" s="14">
        <v>325.17</v>
      </c>
      <c r="L69" s="14">
        <v>179.05</v>
      </c>
      <c r="M69" s="14">
        <v>1023.32</v>
      </c>
      <c r="N69" s="14">
        <v>6617.7500000000018</v>
      </c>
      <c r="O69" s="14">
        <f t="shared" si="4"/>
        <v>6617.7500000000009</v>
      </c>
      <c r="Q69" s="118" t="s">
        <v>185</v>
      </c>
      <c r="R69" s="14">
        <v>6994.11</v>
      </c>
      <c r="S69" s="26">
        <f t="shared" si="5"/>
        <v>7.0843511736855228E-2</v>
      </c>
    </row>
    <row r="70" spans="1:19" x14ac:dyDescent="0.25">
      <c r="A70" s="13" t="s">
        <v>15</v>
      </c>
      <c r="B70" s="14">
        <v>41.45</v>
      </c>
      <c r="C70" s="14">
        <v>263.23999999999995</v>
      </c>
      <c r="D70" s="14">
        <v>14.08</v>
      </c>
      <c r="E70" s="14">
        <v>32.010000000000005</v>
      </c>
      <c r="F70" s="14"/>
      <c r="G70" s="14">
        <v>28.58</v>
      </c>
      <c r="H70" s="14">
        <v>53.17</v>
      </c>
      <c r="I70" s="14">
        <v>41.52</v>
      </c>
      <c r="J70" s="14"/>
      <c r="K70" s="14"/>
      <c r="L70" s="14">
        <v>49.19</v>
      </c>
      <c r="M70" s="14">
        <v>55.750000000000007</v>
      </c>
      <c r="N70" s="14">
        <v>578.97000000000014</v>
      </c>
      <c r="O70" s="14">
        <f t="shared" si="4"/>
        <v>578.9899999999999</v>
      </c>
      <c r="Q70" s="118" t="s">
        <v>183</v>
      </c>
      <c r="R70" s="14">
        <v>5733.81</v>
      </c>
      <c r="S70" s="26">
        <f t="shared" si="5"/>
        <v>5.8077902125059221E-2</v>
      </c>
    </row>
    <row r="71" spans="1:19" ht="15.75" customHeight="1" x14ac:dyDescent="0.25">
      <c r="A71" s="13" t="s">
        <v>16</v>
      </c>
      <c r="B71" s="14">
        <v>136.95000000000002</v>
      </c>
      <c r="C71" s="14">
        <v>668.31000000000006</v>
      </c>
      <c r="D71" s="14">
        <v>1.27</v>
      </c>
      <c r="E71" s="14">
        <v>4.63</v>
      </c>
      <c r="F71" s="14">
        <v>31.9</v>
      </c>
      <c r="G71" s="14">
        <v>169.89</v>
      </c>
      <c r="H71" s="14">
        <v>66.710000000000008</v>
      </c>
      <c r="I71" s="14">
        <v>4.68</v>
      </c>
      <c r="J71" s="14">
        <v>5.2699999999999987</v>
      </c>
      <c r="K71" s="14">
        <v>2.23</v>
      </c>
      <c r="L71" s="14">
        <v>57.269999999999996</v>
      </c>
      <c r="M71" s="14">
        <v>165.17</v>
      </c>
      <c r="N71" s="14">
        <v>1314.88</v>
      </c>
      <c r="O71" s="14">
        <f t="shared" si="4"/>
        <v>1314.2800000000002</v>
      </c>
      <c r="Q71" s="118" t="s">
        <v>318</v>
      </c>
      <c r="R71" s="14">
        <v>5752.37</v>
      </c>
      <c r="S71" s="26">
        <f t="shared" si="5"/>
        <v>5.8265896820286489E-2</v>
      </c>
    </row>
    <row r="72" spans="1:19" x14ac:dyDescent="0.25">
      <c r="A72" s="13" t="s">
        <v>17</v>
      </c>
      <c r="B72" s="14">
        <v>27.22</v>
      </c>
      <c r="C72" s="14">
        <v>89.039999999999992</v>
      </c>
      <c r="D72" s="14"/>
      <c r="E72" s="14">
        <v>9.5500000000000007</v>
      </c>
      <c r="F72" s="14"/>
      <c r="G72" s="14">
        <v>2.2999999999999998</v>
      </c>
      <c r="H72" s="14">
        <v>14.8</v>
      </c>
      <c r="I72" s="14">
        <v>1.69</v>
      </c>
      <c r="J72" s="14">
        <v>5.68</v>
      </c>
      <c r="K72" s="14"/>
      <c r="L72" s="14">
        <v>38.230000000000004</v>
      </c>
      <c r="M72" s="14">
        <v>55.58</v>
      </c>
      <c r="N72" s="14">
        <v>244.07</v>
      </c>
      <c r="O72" s="14">
        <f t="shared" si="4"/>
        <v>244.08999999999997</v>
      </c>
      <c r="Q72" s="118" t="s">
        <v>186</v>
      </c>
      <c r="R72" s="14">
        <v>5218.2700000000004</v>
      </c>
      <c r="S72" s="26">
        <f t="shared" si="5"/>
        <v>5.2855984820238684E-2</v>
      </c>
    </row>
    <row r="73" spans="1:19" x14ac:dyDescent="0.25">
      <c r="A73" s="13" t="s">
        <v>18</v>
      </c>
      <c r="B73" s="14">
        <v>822.31</v>
      </c>
      <c r="C73" s="14">
        <v>4063.42</v>
      </c>
      <c r="D73" s="14">
        <v>252.26</v>
      </c>
      <c r="E73" s="14">
        <v>29.740000000000002</v>
      </c>
      <c r="F73" s="14">
        <v>755.59</v>
      </c>
      <c r="G73" s="14">
        <v>501.84</v>
      </c>
      <c r="H73" s="14">
        <v>4.8</v>
      </c>
      <c r="I73" s="14">
        <v>554.6099999999999</v>
      </c>
      <c r="J73" s="14">
        <v>52.289999999999992</v>
      </c>
      <c r="K73" s="14"/>
      <c r="L73" s="14">
        <v>610.54</v>
      </c>
      <c r="M73" s="14">
        <v>1026.7699999999998</v>
      </c>
      <c r="N73" s="14">
        <v>8674.15</v>
      </c>
      <c r="O73" s="14">
        <f t="shared" si="4"/>
        <v>8674.17</v>
      </c>
      <c r="Q73" s="281" t="s">
        <v>184</v>
      </c>
      <c r="R73" s="14">
        <v>5252.08</v>
      </c>
      <c r="S73" s="26">
        <f t="shared" si="5"/>
        <v>5.3198447139507762E-2</v>
      </c>
    </row>
    <row r="74" spans="1:19" x14ac:dyDescent="0.25">
      <c r="A74" s="106" t="s">
        <v>50</v>
      </c>
      <c r="B74" s="108">
        <f>SUM(B75:B77)</f>
        <v>7062.9400000000005</v>
      </c>
      <c r="C74" s="108">
        <f t="shared" ref="C74:K74" si="6">SUM(C75:C77)</f>
        <v>961.21000000000026</v>
      </c>
      <c r="D74" s="108">
        <f t="shared" si="6"/>
        <v>1102</v>
      </c>
      <c r="E74" s="108">
        <f t="shared" si="6"/>
        <v>882.90000000000009</v>
      </c>
      <c r="F74" s="108">
        <f t="shared" si="6"/>
        <v>1506.44</v>
      </c>
      <c r="G74" s="108">
        <f t="shared" si="6"/>
        <v>745.51999999999987</v>
      </c>
      <c r="H74" s="108">
        <f t="shared" si="6"/>
        <v>525.95000000000005</v>
      </c>
      <c r="I74" s="108">
        <f t="shared" si="6"/>
        <v>807.63</v>
      </c>
      <c r="J74" s="108">
        <f t="shared" si="6"/>
        <v>159.62</v>
      </c>
      <c r="K74" s="108">
        <f t="shared" si="6"/>
        <v>513.30000000000007</v>
      </c>
      <c r="L74" s="108">
        <f>SUM(L75:L77)</f>
        <v>2212.8400000000006</v>
      </c>
      <c r="M74" s="108">
        <v>2402.66</v>
      </c>
      <c r="N74" s="108">
        <v>18883.009999999998</v>
      </c>
      <c r="O74" s="108">
        <f t="shared" si="4"/>
        <v>18883.010000000002</v>
      </c>
      <c r="Q74" s="118" t="s">
        <v>187</v>
      </c>
      <c r="R74" s="14">
        <v>4376.49</v>
      </c>
      <c r="S74" s="134">
        <f t="shared" si="5"/>
        <v>4.4329574553621486E-2</v>
      </c>
    </row>
    <row r="75" spans="1:19" x14ac:dyDescent="0.25">
      <c r="A75" s="13" t="s">
        <v>19</v>
      </c>
      <c r="B75" s="14">
        <v>905.48</v>
      </c>
      <c r="C75" s="14">
        <v>459.47000000000025</v>
      </c>
      <c r="D75" s="14">
        <v>738.83000000000015</v>
      </c>
      <c r="E75" s="14">
        <v>102.64000000000003</v>
      </c>
      <c r="F75" s="14">
        <v>604.15000000000009</v>
      </c>
      <c r="G75" s="14">
        <v>311.58999999999992</v>
      </c>
      <c r="H75" s="14">
        <v>493.71000000000004</v>
      </c>
      <c r="I75" s="14">
        <v>408.94</v>
      </c>
      <c r="J75" s="14">
        <v>65.989999999999995</v>
      </c>
      <c r="K75" s="14">
        <v>73.700000000000017</v>
      </c>
      <c r="L75" s="14">
        <v>621.37999999999988</v>
      </c>
      <c r="M75" s="14">
        <v>991.96</v>
      </c>
      <c r="N75" s="14">
        <v>5777.8399999999983</v>
      </c>
      <c r="O75" s="14">
        <f t="shared" si="4"/>
        <v>5777.8400000000011</v>
      </c>
      <c r="Q75" s="118" t="s">
        <v>179</v>
      </c>
      <c r="R75" s="14">
        <v>2224.4299999999998</v>
      </c>
      <c r="S75" s="135">
        <f t="shared" si="5"/>
        <v>2.2531306029332236E-2</v>
      </c>
    </row>
    <row r="76" spans="1:19" x14ac:dyDescent="0.25">
      <c r="A76" s="13" t="s">
        <v>20</v>
      </c>
      <c r="B76" s="14">
        <v>764.54</v>
      </c>
      <c r="C76" s="14">
        <v>25.36</v>
      </c>
      <c r="D76" s="14">
        <v>37.410000000000004</v>
      </c>
      <c r="E76" s="14">
        <v>89.299999999999983</v>
      </c>
      <c r="F76" s="14">
        <v>91.249999999999986</v>
      </c>
      <c r="G76" s="14">
        <v>51.7</v>
      </c>
      <c r="H76" s="14">
        <v>6.33</v>
      </c>
      <c r="I76" s="14">
        <v>22.36</v>
      </c>
      <c r="J76" s="14">
        <v>10.4</v>
      </c>
      <c r="K76" s="14">
        <v>32.86</v>
      </c>
      <c r="L76" s="14">
        <v>252.56000000000006</v>
      </c>
      <c r="M76" s="14">
        <v>162.17999999999998</v>
      </c>
      <c r="N76" s="14">
        <v>1546.25</v>
      </c>
      <c r="O76" s="14">
        <f t="shared" si="4"/>
        <v>1546.2499999999998</v>
      </c>
      <c r="Q76" s="118" t="s">
        <v>177</v>
      </c>
      <c r="R76" s="14">
        <v>2161.04</v>
      </c>
      <c r="S76" s="135">
        <f t="shared" si="5"/>
        <v>2.1889227164544684E-2</v>
      </c>
    </row>
    <row r="77" spans="1:19" x14ac:dyDescent="0.25">
      <c r="A77" s="13" t="s">
        <v>21</v>
      </c>
      <c r="B77" s="14">
        <v>5392.92</v>
      </c>
      <c r="C77" s="14">
        <v>476.38</v>
      </c>
      <c r="D77" s="14">
        <v>325.75999999999993</v>
      </c>
      <c r="E77" s="14">
        <v>690.96</v>
      </c>
      <c r="F77" s="14">
        <v>811.04000000000008</v>
      </c>
      <c r="G77" s="14">
        <v>382.22999999999996</v>
      </c>
      <c r="H77" s="14">
        <v>25.91</v>
      </c>
      <c r="I77" s="14">
        <v>376.33</v>
      </c>
      <c r="J77" s="14">
        <v>83.23</v>
      </c>
      <c r="K77" s="14">
        <v>406.74</v>
      </c>
      <c r="L77" s="14">
        <v>1338.9000000000008</v>
      </c>
      <c r="M77" s="14">
        <v>1248.5199999999998</v>
      </c>
      <c r="N77" s="14">
        <v>11558.92</v>
      </c>
      <c r="O77" s="14">
        <f t="shared" si="4"/>
        <v>11558.920000000002</v>
      </c>
      <c r="Q77" s="118" t="s">
        <v>159</v>
      </c>
      <c r="R77" s="14">
        <v>7774.28</v>
      </c>
      <c r="S77" s="26">
        <f t="shared" si="5"/>
        <v>7.8745872802343533E-2</v>
      </c>
    </row>
    <row r="78" spans="1:19" x14ac:dyDescent="0.25">
      <c r="A78" s="106" t="s">
        <v>60</v>
      </c>
      <c r="B78" s="108">
        <v>2479.4899999999993</v>
      </c>
      <c r="C78" s="108">
        <v>450.26000000000005</v>
      </c>
      <c r="D78" s="108">
        <v>365.45</v>
      </c>
      <c r="E78" s="108">
        <v>703.12000000000012</v>
      </c>
      <c r="F78" s="108">
        <v>96.13</v>
      </c>
      <c r="G78" s="108">
        <v>274.35000000000002</v>
      </c>
      <c r="H78" s="108">
        <v>118.16000000000001</v>
      </c>
      <c r="I78" s="108">
        <v>178.54000000000002</v>
      </c>
      <c r="J78" s="108">
        <v>813.30999999999983</v>
      </c>
      <c r="K78" s="108">
        <v>255.03999999999996</v>
      </c>
      <c r="L78" s="108">
        <v>850.46</v>
      </c>
      <c r="M78" s="108">
        <v>1487.62</v>
      </c>
      <c r="N78" s="108">
        <v>8071.93</v>
      </c>
      <c r="O78" s="108">
        <f t="shared" si="4"/>
        <v>8071.9299999999994</v>
      </c>
      <c r="Q78" s="259" t="s">
        <v>298</v>
      </c>
      <c r="R78" s="14">
        <v>14925.45</v>
      </c>
      <c r="S78" s="26">
        <f t="shared" si="5"/>
        <v>0.15118024913146147</v>
      </c>
    </row>
    <row r="79" spans="1:19" x14ac:dyDescent="0.25">
      <c r="A79" s="13" t="s">
        <v>22</v>
      </c>
      <c r="B79" s="14">
        <v>2282.9699999999993</v>
      </c>
      <c r="C79" s="14">
        <v>110.36000000000001</v>
      </c>
      <c r="D79" s="14">
        <v>174.67000000000002</v>
      </c>
      <c r="E79" s="14">
        <v>469.95000000000016</v>
      </c>
      <c r="F79" s="14">
        <v>67.22999999999999</v>
      </c>
      <c r="G79" s="14">
        <v>102.77</v>
      </c>
      <c r="H79" s="14">
        <v>85.410000000000011</v>
      </c>
      <c r="I79" s="14">
        <v>137.44</v>
      </c>
      <c r="J79" s="14">
        <v>137.62</v>
      </c>
      <c r="K79" s="14">
        <v>4.6499999999999995</v>
      </c>
      <c r="L79" s="14">
        <v>375.61</v>
      </c>
      <c r="M79" s="14">
        <v>569.04999999999995</v>
      </c>
      <c r="N79" s="14">
        <v>4517.7299999999996</v>
      </c>
      <c r="O79" s="14">
        <f t="shared" si="4"/>
        <v>4517.7299999999996</v>
      </c>
      <c r="Q79" s="118" t="s">
        <v>201</v>
      </c>
      <c r="R79" s="110">
        <v>98726.19</v>
      </c>
      <c r="S79" s="125">
        <f t="shared" si="5"/>
        <v>1</v>
      </c>
    </row>
    <row r="80" spans="1:19" x14ac:dyDescent="0.25">
      <c r="A80" s="13" t="s">
        <v>23</v>
      </c>
      <c r="B80" s="14">
        <v>32.36</v>
      </c>
      <c r="C80" s="14">
        <v>76.589999999999989</v>
      </c>
      <c r="D80" s="14">
        <v>109.83</v>
      </c>
      <c r="E80" s="14">
        <v>114.10000000000002</v>
      </c>
      <c r="F80" s="14">
        <v>17.369999999999997</v>
      </c>
      <c r="G80" s="14">
        <v>39.839999999999989</v>
      </c>
      <c r="H80" s="14">
        <v>9.73</v>
      </c>
      <c r="I80" s="14">
        <v>0.37</v>
      </c>
      <c r="J80" s="14">
        <v>501.23999999999995</v>
      </c>
      <c r="K80" s="14">
        <v>0.45</v>
      </c>
      <c r="L80" s="14">
        <v>94.55</v>
      </c>
      <c r="M80" s="14">
        <v>270.78999999999996</v>
      </c>
      <c r="N80" s="14">
        <v>1267.22</v>
      </c>
      <c r="O80" s="14">
        <f t="shared" si="4"/>
        <v>1267.2199999999998</v>
      </c>
    </row>
    <row r="81" spans="1:15" x14ac:dyDescent="0.25">
      <c r="A81" s="13" t="s">
        <v>24</v>
      </c>
      <c r="B81" s="14">
        <v>164.16</v>
      </c>
      <c r="C81" s="14">
        <v>263.31000000000006</v>
      </c>
      <c r="D81" s="14">
        <v>80.95</v>
      </c>
      <c r="E81" s="14">
        <v>119.07</v>
      </c>
      <c r="F81" s="14">
        <v>11.53</v>
      </c>
      <c r="G81" s="14">
        <v>131.74</v>
      </c>
      <c r="H81" s="14">
        <v>23.019999999999996</v>
      </c>
      <c r="I81" s="14">
        <v>40.730000000000004</v>
      </c>
      <c r="J81" s="14">
        <v>174.44999999999996</v>
      </c>
      <c r="K81" s="14">
        <v>249.93999999999997</v>
      </c>
      <c r="L81" s="14">
        <v>380.29999999999995</v>
      </c>
      <c r="M81" s="14">
        <v>647.78000000000009</v>
      </c>
      <c r="N81" s="14">
        <v>2286.98</v>
      </c>
      <c r="O81" s="14">
        <f t="shared" si="4"/>
        <v>2286.98</v>
      </c>
    </row>
    <row r="82" spans="1:15" x14ac:dyDescent="0.25">
      <c r="A82" s="106" t="s">
        <v>53</v>
      </c>
      <c r="B82" s="108">
        <v>109.57999999999998</v>
      </c>
      <c r="C82" s="108">
        <v>10.94</v>
      </c>
      <c r="D82" s="108">
        <v>10.029999999999999</v>
      </c>
      <c r="E82" s="108">
        <v>2.46</v>
      </c>
      <c r="F82" s="108">
        <v>1.1100000000000001</v>
      </c>
      <c r="G82" s="108">
        <v>66.320000000000007</v>
      </c>
      <c r="H82" s="108">
        <v>201.92000000000002</v>
      </c>
      <c r="I82" s="108">
        <v>51.71</v>
      </c>
      <c r="J82" s="108">
        <v>2.2400000000000002</v>
      </c>
      <c r="K82" s="108">
        <v>5.76</v>
      </c>
      <c r="L82" s="108">
        <v>1.1499999999999999</v>
      </c>
      <c r="M82" s="108">
        <v>134.59</v>
      </c>
      <c r="N82" s="108">
        <v>597.80999999999995</v>
      </c>
      <c r="O82" s="108">
        <f t="shared" si="4"/>
        <v>597.80999999999995</v>
      </c>
    </row>
    <row r="83" spans="1:15" x14ac:dyDescent="0.25">
      <c r="A83" s="13" t="s">
        <v>34</v>
      </c>
      <c r="B83" s="14">
        <v>6.21</v>
      </c>
      <c r="C83" s="14"/>
      <c r="D83" s="14"/>
      <c r="E83" s="14"/>
      <c r="F83" s="14"/>
      <c r="G83" s="14"/>
      <c r="H83" s="14">
        <v>1.83</v>
      </c>
      <c r="I83" s="14"/>
      <c r="J83" s="14"/>
      <c r="K83" s="14"/>
      <c r="L83" s="14"/>
      <c r="M83" s="14">
        <v>7.27</v>
      </c>
      <c r="N83" s="14">
        <v>15.31</v>
      </c>
      <c r="O83" s="14">
        <f t="shared" si="4"/>
        <v>15.309999999999999</v>
      </c>
    </row>
    <row r="84" spans="1:15" x14ac:dyDescent="0.25">
      <c r="A84" s="13" t="s">
        <v>35</v>
      </c>
      <c r="B84" s="14"/>
      <c r="C84" s="14"/>
      <c r="D84" s="14">
        <v>0.18</v>
      </c>
      <c r="E84" s="14"/>
      <c r="F84" s="14"/>
      <c r="G84" s="14"/>
      <c r="H84" s="14"/>
      <c r="I84" s="14"/>
      <c r="J84" s="14">
        <v>0.16</v>
      </c>
      <c r="K84" s="14"/>
      <c r="L84" s="14"/>
      <c r="M84" s="14">
        <v>1.68</v>
      </c>
      <c r="N84" s="14">
        <v>2.02</v>
      </c>
      <c r="O84" s="14">
        <f t="shared" si="4"/>
        <v>2.02</v>
      </c>
    </row>
    <row r="85" spans="1:15" x14ac:dyDescent="0.25">
      <c r="A85" s="13" t="s">
        <v>36</v>
      </c>
      <c r="B85" s="14">
        <v>0.2</v>
      </c>
      <c r="C85" s="14"/>
      <c r="D85" s="14"/>
      <c r="E85" s="14"/>
      <c r="F85" s="14"/>
      <c r="G85" s="14"/>
      <c r="H85" s="14">
        <v>25.96</v>
      </c>
      <c r="I85" s="14"/>
      <c r="J85" s="14"/>
      <c r="K85" s="14">
        <v>0.1</v>
      </c>
      <c r="L85" s="14"/>
      <c r="M85" s="14">
        <v>1.56</v>
      </c>
      <c r="N85" s="14">
        <v>27.82</v>
      </c>
      <c r="O85" s="14">
        <f t="shared" si="4"/>
        <v>27.82</v>
      </c>
    </row>
    <row r="86" spans="1:15" x14ac:dyDescent="0.25">
      <c r="A86" s="13" t="s">
        <v>37</v>
      </c>
      <c r="B86" s="14"/>
      <c r="C86" s="14"/>
      <c r="D86" s="14"/>
      <c r="E86" s="14"/>
      <c r="F86" s="14"/>
      <c r="G86" s="14"/>
      <c r="H86" s="14">
        <v>9.2000000000000011</v>
      </c>
      <c r="I86" s="14"/>
      <c r="J86" s="14"/>
      <c r="K86" s="14"/>
      <c r="L86" s="14"/>
      <c r="M86" s="14">
        <v>1.0899999999999999</v>
      </c>
      <c r="N86" s="14">
        <v>10.290000000000001</v>
      </c>
      <c r="O86" s="14">
        <f t="shared" si="4"/>
        <v>10.290000000000001</v>
      </c>
    </row>
    <row r="87" spans="1:15" x14ac:dyDescent="0.25">
      <c r="A87" s="13" t="s">
        <v>38</v>
      </c>
      <c r="B87" s="14"/>
      <c r="C87" s="14"/>
      <c r="D87" s="14"/>
      <c r="E87" s="14"/>
      <c r="F87" s="14"/>
      <c r="G87" s="14"/>
      <c r="H87" s="14">
        <v>49.44</v>
      </c>
      <c r="I87" s="14">
        <v>13.29</v>
      </c>
      <c r="J87" s="14"/>
      <c r="K87" s="14"/>
      <c r="L87" s="14"/>
      <c r="M87" s="14"/>
      <c r="N87" s="14">
        <v>62.73</v>
      </c>
      <c r="O87" s="14">
        <f t="shared" si="4"/>
        <v>62.73</v>
      </c>
    </row>
    <row r="88" spans="1:15" x14ac:dyDescent="0.25">
      <c r="A88" s="13" t="s">
        <v>40</v>
      </c>
      <c r="B88" s="14">
        <v>14</v>
      </c>
      <c r="C88" s="14"/>
      <c r="D88" s="14"/>
      <c r="E88" s="14">
        <v>0.28999999999999998</v>
      </c>
      <c r="F88" s="14">
        <v>1.1100000000000001</v>
      </c>
      <c r="G88" s="14">
        <v>1.48</v>
      </c>
      <c r="H88" s="14">
        <v>54.05</v>
      </c>
      <c r="I88" s="14"/>
      <c r="J88" s="14">
        <v>2.08</v>
      </c>
      <c r="K88" s="14"/>
      <c r="L88" s="14">
        <v>1.1499999999999999</v>
      </c>
      <c r="M88" s="14">
        <v>5.75</v>
      </c>
      <c r="N88" s="14">
        <v>79.91</v>
      </c>
      <c r="O88" s="14">
        <f t="shared" si="4"/>
        <v>79.91</v>
      </c>
    </row>
    <row r="89" spans="1:15" x14ac:dyDescent="0.25">
      <c r="A89" s="13" t="s">
        <v>41</v>
      </c>
      <c r="B89" s="14">
        <v>86.009999999999991</v>
      </c>
      <c r="C89" s="14">
        <v>10.729999999999999</v>
      </c>
      <c r="D89" s="14">
        <v>1.69</v>
      </c>
      <c r="E89" s="14">
        <v>1.04</v>
      </c>
      <c r="F89" s="14"/>
      <c r="G89" s="14">
        <v>64.84</v>
      </c>
      <c r="H89" s="14">
        <v>50.89</v>
      </c>
      <c r="I89" s="14">
        <v>38.42</v>
      </c>
      <c r="J89" s="14"/>
      <c r="K89" s="14">
        <v>5.2</v>
      </c>
      <c r="L89" s="14"/>
      <c r="M89" s="14">
        <v>110.42</v>
      </c>
      <c r="N89" s="14">
        <v>369.23999999999995</v>
      </c>
      <c r="O89" s="14">
        <f t="shared" si="4"/>
        <v>369.24</v>
      </c>
    </row>
    <row r="90" spans="1:15" x14ac:dyDescent="0.25">
      <c r="A90" s="13" t="s">
        <v>42</v>
      </c>
      <c r="B90" s="14">
        <v>3.16</v>
      </c>
      <c r="C90" s="14">
        <v>0.21</v>
      </c>
      <c r="D90" s="14">
        <v>8.16</v>
      </c>
      <c r="E90" s="14">
        <v>1.1299999999999999</v>
      </c>
      <c r="F90" s="14"/>
      <c r="G90" s="14"/>
      <c r="H90" s="14">
        <v>10.55</v>
      </c>
      <c r="I90" s="14"/>
      <c r="J90" s="14"/>
      <c r="K90" s="14">
        <v>0.46</v>
      </c>
      <c r="L90" s="14"/>
      <c r="M90" s="14">
        <v>6.82</v>
      </c>
      <c r="N90" s="14">
        <v>30.490000000000002</v>
      </c>
      <c r="O90" s="14">
        <f t="shared" si="4"/>
        <v>30.490000000000002</v>
      </c>
    </row>
    <row r="91" spans="1:15" x14ac:dyDescent="0.25">
      <c r="A91" s="106" t="s">
        <v>52</v>
      </c>
      <c r="B91" s="108">
        <v>5307.76</v>
      </c>
      <c r="C91" s="108">
        <v>3532.4999999999995</v>
      </c>
      <c r="D91" s="108">
        <v>844.91</v>
      </c>
      <c r="E91" s="108">
        <v>426.71</v>
      </c>
      <c r="F91" s="108">
        <v>488.28999999999996</v>
      </c>
      <c r="G91" s="108">
        <v>1655.7199999999998</v>
      </c>
      <c r="H91" s="108">
        <v>2205.7600000000002</v>
      </c>
      <c r="I91" s="108">
        <v>1132.9299999999998</v>
      </c>
      <c r="J91" s="108">
        <v>167.29999999999998</v>
      </c>
      <c r="K91" s="108">
        <v>207.28999999999996</v>
      </c>
      <c r="L91" s="108">
        <v>1566.39</v>
      </c>
      <c r="M91" s="108">
        <v>1507.82</v>
      </c>
      <c r="N91" s="108">
        <v>19043.379999999997</v>
      </c>
      <c r="O91" s="108">
        <f t="shared" si="4"/>
        <v>19043.379999999997</v>
      </c>
    </row>
    <row r="92" spans="1:15" x14ac:dyDescent="0.25">
      <c r="A92" s="13" t="s">
        <v>29</v>
      </c>
      <c r="B92" s="14">
        <v>3473.46</v>
      </c>
      <c r="C92" s="14">
        <v>2490.1999999999994</v>
      </c>
      <c r="D92" s="14">
        <v>381.4899999999999</v>
      </c>
      <c r="E92" s="14">
        <v>392.16999999999996</v>
      </c>
      <c r="F92" s="14">
        <v>173.51000000000002</v>
      </c>
      <c r="G92" s="14">
        <v>716.46999999999991</v>
      </c>
      <c r="H92" s="14">
        <v>1727.27</v>
      </c>
      <c r="I92" s="14">
        <v>826.9</v>
      </c>
      <c r="J92" s="14">
        <v>144.79</v>
      </c>
      <c r="K92" s="14">
        <v>190.57999999999998</v>
      </c>
      <c r="L92" s="14">
        <v>676.30000000000018</v>
      </c>
      <c r="M92" s="14">
        <v>925.41</v>
      </c>
      <c r="N92" s="14">
        <v>12118.549999999996</v>
      </c>
      <c r="O92" s="14">
        <f t="shared" si="4"/>
        <v>12118.55</v>
      </c>
    </row>
    <row r="93" spans="1:15" x14ac:dyDescent="0.25">
      <c r="A93" s="13" t="s">
        <v>30</v>
      </c>
      <c r="B93" s="14">
        <v>811.68999999999983</v>
      </c>
      <c r="C93" s="14">
        <v>550.84</v>
      </c>
      <c r="D93" s="14">
        <v>219.57000000000002</v>
      </c>
      <c r="E93" s="14">
        <v>10.3</v>
      </c>
      <c r="F93" s="14">
        <v>60.529999999999994</v>
      </c>
      <c r="G93" s="14">
        <v>553.54</v>
      </c>
      <c r="H93" s="14">
        <v>205.18</v>
      </c>
      <c r="I93" s="14">
        <v>83.63</v>
      </c>
      <c r="J93" s="14">
        <v>10.32</v>
      </c>
      <c r="K93" s="14">
        <v>9.01</v>
      </c>
      <c r="L93" s="14">
        <v>354.17</v>
      </c>
      <c r="M93" s="14">
        <v>250.9</v>
      </c>
      <c r="N93" s="14">
        <v>3119.68</v>
      </c>
      <c r="O93" s="14">
        <f t="shared" si="4"/>
        <v>3119.68</v>
      </c>
    </row>
    <row r="94" spans="1:15" x14ac:dyDescent="0.25">
      <c r="A94" s="13" t="s">
        <v>31</v>
      </c>
      <c r="B94" s="14">
        <v>145.21</v>
      </c>
      <c r="C94" s="14">
        <v>225.15</v>
      </c>
      <c r="D94" s="14">
        <v>57.480000000000011</v>
      </c>
      <c r="E94" s="14">
        <v>0.26</v>
      </c>
      <c r="F94" s="14">
        <v>17.39</v>
      </c>
      <c r="G94" s="14">
        <v>186.38</v>
      </c>
      <c r="H94" s="14">
        <v>111.74</v>
      </c>
      <c r="I94" s="14">
        <v>47.29</v>
      </c>
      <c r="J94" s="14"/>
      <c r="K94" s="14">
        <v>0.79</v>
      </c>
      <c r="L94" s="14">
        <v>26.5</v>
      </c>
      <c r="M94" s="14">
        <v>26</v>
      </c>
      <c r="N94" s="14">
        <v>844.19</v>
      </c>
      <c r="O94" s="14">
        <f t="shared" si="4"/>
        <v>844.18999999999994</v>
      </c>
    </row>
    <row r="95" spans="1:15" x14ac:dyDescent="0.25">
      <c r="A95" s="13" t="s">
        <v>32</v>
      </c>
      <c r="B95" s="14">
        <v>7.1</v>
      </c>
      <c r="C95" s="14">
        <v>21.18</v>
      </c>
      <c r="D95" s="14"/>
      <c r="E95" s="14"/>
      <c r="F95" s="14"/>
      <c r="G95" s="14"/>
      <c r="H95" s="14"/>
      <c r="I95" s="14"/>
      <c r="J95" s="14"/>
      <c r="K95" s="14"/>
      <c r="L95" s="14">
        <v>7.7200000000000006</v>
      </c>
      <c r="M95" s="14"/>
      <c r="N95" s="14">
        <v>36</v>
      </c>
      <c r="O95" s="14">
        <f t="shared" si="4"/>
        <v>36</v>
      </c>
    </row>
    <row r="96" spans="1:15" x14ac:dyDescent="0.25">
      <c r="A96" s="13" t="s">
        <v>33</v>
      </c>
      <c r="B96" s="14">
        <v>870.30000000000018</v>
      </c>
      <c r="C96" s="14">
        <v>245.13000000000002</v>
      </c>
      <c r="D96" s="14">
        <v>186.37</v>
      </c>
      <c r="E96" s="14">
        <v>23.98</v>
      </c>
      <c r="F96" s="14">
        <v>236.85999999999999</v>
      </c>
      <c r="G96" s="14">
        <v>199.33</v>
      </c>
      <c r="H96" s="14">
        <v>161.57000000000002</v>
      </c>
      <c r="I96" s="14">
        <v>175.11</v>
      </c>
      <c r="J96" s="14">
        <v>12.19</v>
      </c>
      <c r="K96" s="14">
        <v>6.9099999999999993</v>
      </c>
      <c r="L96" s="14">
        <v>501.7</v>
      </c>
      <c r="M96" s="14">
        <v>305.51</v>
      </c>
      <c r="N96" s="14">
        <v>2924.96</v>
      </c>
      <c r="O96" s="14">
        <f t="shared" si="4"/>
        <v>2924.96</v>
      </c>
    </row>
    <row r="97" spans="1:15" x14ac:dyDescent="0.25">
      <c r="A97" s="106" t="s">
        <v>51</v>
      </c>
      <c r="B97" s="108">
        <f>SUM(B98:B101)</f>
        <v>616.78</v>
      </c>
      <c r="C97" s="108">
        <f t="shared" ref="C97:J97" si="7">SUM(C98:C101)</f>
        <v>735.45999999999992</v>
      </c>
      <c r="D97" s="108">
        <f t="shared" si="7"/>
        <v>3240.6100000000006</v>
      </c>
      <c r="E97" s="108">
        <f t="shared" si="7"/>
        <v>1985.52</v>
      </c>
      <c r="F97" s="108">
        <f t="shared" si="7"/>
        <v>452.41999999999996</v>
      </c>
      <c r="G97" s="108">
        <f t="shared" si="7"/>
        <v>1319.7000000000003</v>
      </c>
      <c r="H97" s="108">
        <f t="shared" si="7"/>
        <v>100.52</v>
      </c>
      <c r="I97" s="108">
        <f t="shared" si="7"/>
        <v>194.67000000000002</v>
      </c>
      <c r="J97" s="108">
        <f t="shared" si="7"/>
        <v>336.49</v>
      </c>
      <c r="K97" s="108">
        <f>SUM(K98:K101)</f>
        <v>520.52</v>
      </c>
      <c r="L97" s="108">
        <f>SUM(L98:L101)</f>
        <v>21.509999999999998</v>
      </c>
      <c r="M97" s="108">
        <v>1550.77</v>
      </c>
      <c r="N97" s="108">
        <v>11074.97</v>
      </c>
      <c r="O97" s="108">
        <f t="shared" si="4"/>
        <v>11074.970000000003</v>
      </c>
    </row>
    <row r="98" spans="1:15" x14ac:dyDescent="0.25">
      <c r="A98" s="13" t="s">
        <v>25</v>
      </c>
      <c r="B98" s="14"/>
      <c r="C98" s="14"/>
      <c r="D98" s="14">
        <v>2.41</v>
      </c>
      <c r="E98" s="14">
        <v>4.03</v>
      </c>
      <c r="F98" s="14"/>
      <c r="G98" s="14">
        <v>0.39</v>
      </c>
      <c r="H98" s="14"/>
      <c r="I98" s="14"/>
      <c r="J98" s="14">
        <v>5.85</v>
      </c>
      <c r="K98" s="14">
        <v>4.339999999999999</v>
      </c>
      <c r="L98" s="14"/>
      <c r="M98" s="14">
        <v>0.35</v>
      </c>
      <c r="N98" s="14">
        <v>17.369999999999997</v>
      </c>
      <c r="O98" s="14">
        <f t="shared" si="4"/>
        <v>17.37</v>
      </c>
    </row>
    <row r="99" spans="1:15" x14ac:dyDescent="0.25">
      <c r="A99" s="13" t="s">
        <v>26</v>
      </c>
      <c r="B99" s="14">
        <v>14.03</v>
      </c>
      <c r="C99" s="14"/>
      <c r="D99" s="14">
        <v>0.01</v>
      </c>
      <c r="E99" s="14">
        <v>0.2</v>
      </c>
      <c r="F99" s="14"/>
      <c r="G99" s="14">
        <v>0.02</v>
      </c>
      <c r="H99" s="14"/>
      <c r="I99" s="14">
        <v>13.52</v>
      </c>
      <c r="J99" s="14">
        <v>0.67</v>
      </c>
      <c r="K99" s="14">
        <v>0.18</v>
      </c>
      <c r="L99" s="14"/>
      <c r="M99" s="14">
        <v>2.4300000000000002</v>
      </c>
      <c r="N99" s="14">
        <v>31.060000000000002</v>
      </c>
      <c r="O99" s="14">
        <f t="shared" si="4"/>
        <v>31.06</v>
      </c>
    </row>
    <row r="100" spans="1:15" x14ac:dyDescent="0.25">
      <c r="A100" s="13" t="s">
        <v>27</v>
      </c>
      <c r="B100" s="14">
        <v>464.87</v>
      </c>
      <c r="C100" s="14">
        <v>683.87999999999988</v>
      </c>
      <c r="D100" s="14">
        <v>2391.96</v>
      </c>
      <c r="E100" s="14">
        <v>850.91</v>
      </c>
      <c r="F100" s="14">
        <v>388.15</v>
      </c>
      <c r="G100" s="14">
        <v>962.10000000000036</v>
      </c>
      <c r="H100" s="14">
        <v>53.980000000000004</v>
      </c>
      <c r="I100" s="14">
        <v>171.18</v>
      </c>
      <c r="J100" s="14">
        <v>110.13999999999997</v>
      </c>
      <c r="K100" s="14">
        <v>372.29</v>
      </c>
      <c r="L100" s="14">
        <v>11.569999999999999</v>
      </c>
      <c r="M100" s="14">
        <v>860</v>
      </c>
      <c r="N100" s="14">
        <v>7321.9099999999989</v>
      </c>
      <c r="O100" s="14">
        <f t="shared" si="4"/>
        <v>7321.03</v>
      </c>
    </row>
    <row r="101" spans="1:15" x14ac:dyDescent="0.25">
      <c r="A101" s="13" t="s">
        <v>28</v>
      </c>
      <c r="B101" s="14">
        <v>137.88</v>
      </c>
      <c r="C101" s="14">
        <v>51.58</v>
      </c>
      <c r="D101" s="14">
        <v>846.23000000000025</v>
      </c>
      <c r="E101" s="14">
        <v>1130.3800000000001</v>
      </c>
      <c r="F101" s="14">
        <v>64.27</v>
      </c>
      <c r="G101" s="14">
        <v>357.18999999999988</v>
      </c>
      <c r="H101" s="14">
        <v>46.539999999999992</v>
      </c>
      <c r="I101" s="14">
        <v>9.9700000000000006</v>
      </c>
      <c r="J101" s="14">
        <v>219.83000000000004</v>
      </c>
      <c r="K101" s="14">
        <v>143.70999999999998</v>
      </c>
      <c r="L101" s="14">
        <v>9.94</v>
      </c>
      <c r="M101" s="14">
        <v>687.11</v>
      </c>
      <c r="N101" s="14">
        <v>3704.6300000000006</v>
      </c>
      <c r="O101" s="14">
        <f t="shared" si="4"/>
        <v>3704.6300000000006</v>
      </c>
    </row>
    <row r="102" spans="1:15" x14ac:dyDescent="0.25">
      <c r="A102" s="106" t="s">
        <v>54</v>
      </c>
      <c r="B102" s="108">
        <v>575.94999999999993</v>
      </c>
      <c r="C102" s="108">
        <v>1194.3800000000001</v>
      </c>
      <c r="D102" s="108">
        <v>658.13000000000011</v>
      </c>
      <c r="E102" s="108">
        <v>20.25</v>
      </c>
      <c r="F102" s="108">
        <v>752.98</v>
      </c>
      <c r="G102" s="108">
        <v>379.41999999999996</v>
      </c>
      <c r="H102" s="108">
        <v>277.07000000000005</v>
      </c>
      <c r="I102" s="108">
        <v>893.73</v>
      </c>
      <c r="J102" s="108">
        <v>23.88</v>
      </c>
      <c r="K102" s="108"/>
      <c r="L102" s="108">
        <v>376.20000000000005</v>
      </c>
      <c r="M102" s="108">
        <v>1776.97</v>
      </c>
      <c r="N102" s="108">
        <v>6928.9599999999991</v>
      </c>
      <c r="O102" s="108">
        <f t="shared" si="4"/>
        <v>6928.96</v>
      </c>
    </row>
    <row r="103" spans="1:15" x14ac:dyDescent="0.25">
      <c r="A103" s="13" t="s">
        <v>43</v>
      </c>
      <c r="B103" s="14">
        <v>407.72999999999996</v>
      </c>
      <c r="C103" s="14">
        <v>801.1400000000001</v>
      </c>
      <c r="D103" s="14">
        <v>120.99</v>
      </c>
      <c r="E103" s="14">
        <v>16.05</v>
      </c>
      <c r="F103" s="14">
        <v>506.01</v>
      </c>
      <c r="G103" s="14">
        <v>137.57</v>
      </c>
      <c r="H103" s="14">
        <v>202.27</v>
      </c>
      <c r="I103" s="14">
        <v>745.9</v>
      </c>
      <c r="J103" s="14">
        <v>17.72</v>
      </c>
      <c r="K103" s="14"/>
      <c r="L103" s="14">
        <v>287.96000000000004</v>
      </c>
      <c r="M103" s="14">
        <v>1555.47</v>
      </c>
      <c r="N103" s="14">
        <v>4798.8099999999995</v>
      </c>
      <c r="O103" s="14">
        <f t="shared" si="4"/>
        <v>4798.8100000000004</v>
      </c>
    </row>
    <row r="104" spans="1:15" x14ac:dyDescent="0.25">
      <c r="A104" s="13" t="s">
        <v>44</v>
      </c>
      <c r="B104" s="14">
        <v>168.22</v>
      </c>
      <c r="C104" s="14">
        <v>393.23999999999995</v>
      </c>
      <c r="D104" s="14">
        <v>537.1400000000001</v>
      </c>
      <c r="E104" s="14">
        <v>4.2</v>
      </c>
      <c r="F104" s="14">
        <v>246.97000000000003</v>
      </c>
      <c r="G104" s="14">
        <v>241.84999999999997</v>
      </c>
      <c r="H104" s="14">
        <v>74.800000000000011</v>
      </c>
      <c r="I104" s="14">
        <v>147.83000000000001</v>
      </c>
      <c r="J104" s="14">
        <v>6.16</v>
      </c>
      <c r="K104" s="14"/>
      <c r="L104" s="14">
        <v>88.240000000000009</v>
      </c>
      <c r="M104" s="14">
        <v>221.5</v>
      </c>
      <c r="N104" s="14">
        <v>2130.15</v>
      </c>
      <c r="O104" s="14">
        <f t="shared" si="4"/>
        <v>2130.1499999999996</v>
      </c>
    </row>
    <row r="105" spans="1:15" x14ac:dyDescent="0.25">
      <c r="A105" s="106" t="s">
        <v>75</v>
      </c>
      <c r="B105" s="108">
        <v>41.61</v>
      </c>
      <c r="C105" s="108"/>
      <c r="D105" s="108">
        <v>2.3200000000000003</v>
      </c>
      <c r="E105" s="108"/>
      <c r="F105" s="108"/>
      <c r="G105" s="108">
        <v>72.03</v>
      </c>
      <c r="H105" s="108"/>
      <c r="I105" s="108"/>
      <c r="J105" s="108"/>
      <c r="K105" s="108"/>
      <c r="L105" s="108">
        <v>229.96000000000004</v>
      </c>
      <c r="M105" s="108">
        <v>100.62</v>
      </c>
      <c r="N105" s="108">
        <v>446.53999999999996</v>
      </c>
      <c r="O105" s="108">
        <f t="shared" si="4"/>
        <v>446.54000000000008</v>
      </c>
    </row>
    <row r="106" spans="1:15" x14ac:dyDescent="0.25">
      <c r="A106" s="13" t="s">
        <v>76</v>
      </c>
      <c r="B106" s="14">
        <v>41.61</v>
      </c>
      <c r="C106" s="14"/>
      <c r="D106" s="14">
        <v>2.3200000000000003</v>
      </c>
      <c r="E106" s="14"/>
      <c r="F106" s="14"/>
      <c r="G106" s="14">
        <v>72.03</v>
      </c>
      <c r="H106" s="14"/>
      <c r="I106" s="14"/>
      <c r="J106" s="14"/>
      <c r="K106" s="14"/>
      <c r="L106" s="14">
        <v>229.96000000000004</v>
      </c>
      <c r="M106" s="14">
        <v>100.62</v>
      </c>
      <c r="N106" s="14">
        <v>446.53999999999996</v>
      </c>
      <c r="O106" s="14">
        <f t="shared" si="4"/>
        <v>446.54000000000008</v>
      </c>
    </row>
    <row r="107" spans="1:15" x14ac:dyDescent="0.25">
      <c r="A107" s="106" t="s">
        <v>55</v>
      </c>
      <c r="B107" s="108">
        <v>165.70000000000002</v>
      </c>
      <c r="C107" s="108">
        <v>96.07</v>
      </c>
      <c r="D107" s="108">
        <v>41.079999999999991</v>
      </c>
      <c r="E107" s="108">
        <v>10.27</v>
      </c>
      <c r="F107" s="108">
        <v>61.280000000000008</v>
      </c>
      <c r="G107" s="108">
        <v>15.19</v>
      </c>
      <c r="H107" s="108">
        <v>1.01</v>
      </c>
      <c r="I107" s="108">
        <v>17.739999999999998</v>
      </c>
      <c r="J107" s="108">
        <v>14.019999999999998</v>
      </c>
      <c r="K107" s="108">
        <v>48.019999999999996</v>
      </c>
      <c r="L107" s="108">
        <v>167.11</v>
      </c>
      <c r="M107" s="108">
        <v>136.32</v>
      </c>
      <c r="N107" s="108">
        <v>773.81</v>
      </c>
      <c r="O107" s="108">
        <f t="shared" si="4"/>
        <v>773.81</v>
      </c>
    </row>
    <row r="108" spans="1:15" x14ac:dyDescent="0.25">
      <c r="A108" s="13" t="s">
        <v>45</v>
      </c>
      <c r="B108" s="14">
        <v>165.70000000000002</v>
      </c>
      <c r="C108" s="14">
        <v>96.07</v>
      </c>
      <c r="D108" s="14">
        <v>41.079999999999991</v>
      </c>
      <c r="E108" s="14">
        <v>10.27</v>
      </c>
      <c r="F108" s="14">
        <v>61.280000000000008</v>
      </c>
      <c r="G108" s="14">
        <v>15.19</v>
      </c>
      <c r="H108" s="14">
        <v>1.01</v>
      </c>
      <c r="I108" s="14">
        <v>17.739999999999998</v>
      </c>
      <c r="J108" s="14">
        <v>14.019999999999998</v>
      </c>
      <c r="K108" s="14">
        <v>48.019999999999996</v>
      </c>
      <c r="L108" s="14">
        <v>167.11</v>
      </c>
      <c r="M108" s="14">
        <v>136.32</v>
      </c>
      <c r="N108" s="14">
        <v>773.81</v>
      </c>
      <c r="O108" s="14">
        <f t="shared" si="4"/>
        <v>773.81</v>
      </c>
    </row>
    <row r="109" spans="1:15" x14ac:dyDescent="0.25">
      <c r="A109" s="106" t="s">
        <v>80</v>
      </c>
      <c r="B109" s="108">
        <v>4.5299999999999994</v>
      </c>
      <c r="C109" s="108"/>
      <c r="D109" s="108"/>
      <c r="E109" s="108"/>
      <c r="F109" s="108">
        <v>0.34</v>
      </c>
      <c r="G109" s="108"/>
      <c r="H109" s="108">
        <v>17.950000000000003</v>
      </c>
      <c r="I109" s="108"/>
      <c r="J109" s="108"/>
      <c r="K109" s="108"/>
      <c r="L109" s="108">
        <v>36.51</v>
      </c>
      <c r="M109" s="108"/>
      <c r="N109" s="108">
        <v>59.330000000000005</v>
      </c>
      <c r="O109" s="108">
        <f t="shared" si="4"/>
        <v>59.33</v>
      </c>
    </row>
    <row r="110" spans="1:15" x14ac:dyDescent="0.25">
      <c r="A110" s="13" t="s">
        <v>81</v>
      </c>
      <c r="B110" s="14">
        <v>4.5299999999999994</v>
      </c>
      <c r="C110" s="14"/>
      <c r="D110" s="14"/>
      <c r="E110" s="14"/>
      <c r="F110" s="14">
        <v>0.34</v>
      </c>
      <c r="G110" s="14"/>
      <c r="H110" s="14">
        <v>17.950000000000003</v>
      </c>
      <c r="I110" s="14"/>
      <c r="J110" s="14"/>
      <c r="K110" s="14"/>
      <c r="L110" s="14">
        <v>36.51</v>
      </c>
      <c r="M110" s="14"/>
      <c r="N110" s="14">
        <v>59.330000000000005</v>
      </c>
      <c r="O110" s="14">
        <f t="shared" si="4"/>
        <v>59.33</v>
      </c>
    </row>
    <row r="111" spans="1:15" x14ac:dyDescent="0.25">
      <c r="A111" s="106" t="s">
        <v>56</v>
      </c>
      <c r="B111" s="108">
        <v>1606.5299999999997</v>
      </c>
      <c r="C111" s="108">
        <v>269.08999999999992</v>
      </c>
      <c r="D111" s="108">
        <v>125.09</v>
      </c>
      <c r="E111" s="108">
        <v>901.96</v>
      </c>
      <c r="F111" s="108">
        <v>22.359999999999996</v>
      </c>
      <c r="G111" s="108">
        <v>236.79999999999998</v>
      </c>
      <c r="H111" s="108">
        <v>266.69</v>
      </c>
      <c r="I111" s="108">
        <v>183.93999999999997</v>
      </c>
      <c r="J111" s="108">
        <v>292.46999999999991</v>
      </c>
      <c r="K111" s="108">
        <v>89.98</v>
      </c>
      <c r="L111" s="108">
        <v>275.20999999999992</v>
      </c>
      <c r="M111" s="108">
        <v>2525.73</v>
      </c>
      <c r="N111" s="108">
        <v>6795.8500000000013</v>
      </c>
      <c r="O111" s="108">
        <f t="shared" si="4"/>
        <v>6795.85</v>
      </c>
    </row>
    <row r="112" spans="1:15" x14ac:dyDescent="0.25">
      <c r="A112" s="13" t="s">
        <v>46</v>
      </c>
      <c r="B112" s="14">
        <v>1606.5299999999997</v>
      </c>
      <c r="C112" s="14">
        <v>269.08999999999992</v>
      </c>
      <c r="D112" s="14">
        <v>125.09</v>
      </c>
      <c r="E112" s="14">
        <v>901.96</v>
      </c>
      <c r="F112" s="14">
        <v>22.359999999999996</v>
      </c>
      <c r="G112" s="14">
        <v>236.79999999999998</v>
      </c>
      <c r="H112" s="14">
        <v>266.69</v>
      </c>
      <c r="I112" s="14">
        <v>183.93999999999997</v>
      </c>
      <c r="J112" s="14">
        <v>292.46999999999991</v>
      </c>
      <c r="K112" s="14">
        <v>89.98</v>
      </c>
      <c r="L112" s="14">
        <v>275.20999999999992</v>
      </c>
      <c r="M112" s="14">
        <v>2525.73</v>
      </c>
      <c r="N112" s="14">
        <v>6795.8500000000013</v>
      </c>
      <c r="O112" s="14">
        <f t="shared" si="4"/>
        <v>6795.85</v>
      </c>
    </row>
    <row r="113" spans="1:15" x14ac:dyDescent="0.25">
      <c r="A113" s="106" t="s">
        <v>57</v>
      </c>
      <c r="B113" s="108">
        <v>210.94</v>
      </c>
      <c r="C113" s="108">
        <v>225.2</v>
      </c>
      <c r="D113" s="108">
        <v>43.839999999999982</v>
      </c>
      <c r="E113" s="108">
        <v>14.780000000000001</v>
      </c>
      <c r="F113" s="108">
        <v>49.040000000000006</v>
      </c>
      <c r="G113" s="108">
        <v>34.51</v>
      </c>
      <c r="H113" s="108">
        <v>18.899999999999999</v>
      </c>
      <c r="I113" s="108">
        <v>37.28</v>
      </c>
      <c r="J113" s="108">
        <v>68.819999999999993</v>
      </c>
      <c r="K113" s="108">
        <v>154.14000000000001</v>
      </c>
      <c r="L113" s="108">
        <v>749.08</v>
      </c>
      <c r="M113" s="108">
        <v>87.82</v>
      </c>
      <c r="N113" s="108">
        <v>1694.35</v>
      </c>
      <c r="O113" s="108">
        <f t="shared" si="4"/>
        <v>1694.35</v>
      </c>
    </row>
    <row r="114" spans="1:15" x14ac:dyDescent="0.25">
      <c r="A114" s="13" t="s">
        <v>47</v>
      </c>
      <c r="B114" s="14">
        <v>210.94</v>
      </c>
      <c r="C114" s="14">
        <v>225.2</v>
      </c>
      <c r="D114" s="14">
        <v>43.839999999999982</v>
      </c>
      <c r="E114" s="14">
        <v>14.780000000000001</v>
      </c>
      <c r="F114" s="14">
        <v>49.040000000000006</v>
      </c>
      <c r="G114" s="14">
        <v>34.51</v>
      </c>
      <c r="H114" s="14">
        <v>18.899999999999999</v>
      </c>
      <c r="I114" s="14">
        <v>37.28</v>
      </c>
      <c r="J114" s="14">
        <v>68.819999999999993</v>
      </c>
      <c r="K114" s="14">
        <v>154.14000000000001</v>
      </c>
      <c r="L114" s="14">
        <v>749.08</v>
      </c>
      <c r="M114" s="14">
        <v>87.82</v>
      </c>
      <c r="N114" s="14">
        <v>1694.35</v>
      </c>
      <c r="O114" s="14">
        <f t="shared" si="4"/>
        <v>1694.35</v>
      </c>
    </row>
    <row r="115" spans="1:15" x14ac:dyDescent="0.25">
      <c r="A115" s="107" t="s">
        <v>59</v>
      </c>
      <c r="B115" s="110">
        <v>22227.46</v>
      </c>
      <c r="C115" s="110">
        <v>16535.52</v>
      </c>
      <c r="D115" s="110">
        <v>6994.11</v>
      </c>
      <c r="E115" s="110">
        <v>5733.81</v>
      </c>
      <c r="F115" s="110">
        <v>5218.2700000000004</v>
      </c>
      <c r="G115" s="110">
        <v>5752.37</v>
      </c>
      <c r="H115" s="110">
        <v>4376.49</v>
      </c>
      <c r="I115" s="110">
        <v>5252.08</v>
      </c>
      <c r="J115" s="110">
        <v>2224.4299999999998</v>
      </c>
      <c r="K115" s="110">
        <v>2161.04</v>
      </c>
      <c r="L115" s="110">
        <v>7774.28</v>
      </c>
      <c r="M115" s="110">
        <v>14925.45</v>
      </c>
      <c r="N115" s="110">
        <v>99175.31</v>
      </c>
      <c r="O115" s="110">
        <f t="shared" si="4"/>
        <v>99175.309999999983</v>
      </c>
    </row>
  </sheetData>
  <mergeCells count="6">
    <mergeCell ref="Q66:S66"/>
    <mergeCell ref="A4:A5"/>
    <mergeCell ref="A63:A64"/>
    <mergeCell ref="Q7:S7"/>
    <mergeCell ref="B4:O4"/>
    <mergeCell ref="B63:O63"/>
  </mergeCells>
  <hyperlinks>
    <hyperlink ref="E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1"/>
  <sheetViews>
    <sheetView topLeftCell="A10" workbookViewId="0">
      <pane xSplit="1" topLeftCell="F1" activePane="topRight" state="frozen"/>
      <selection pane="topRight" activeCell="T18" sqref="T18"/>
    </sheetView>
  </sheetViews>
  <sheetFormatPr baseColWidth="10" defaultRowHeight="15" x14ac:dyDescent="0.25"/>
  <cols>
    <col min="1" max="1" width="24" customWidth="1"/>
    <col min="12" max="13" width="13.85546875" customWidth="1"/>
    <col min="16" max="16" width="19.85546875" customWidth="1"/>
  </cols>
  <sheetData>
    <row r="1" spans="1:18" x14ac:dyDescent="0.25">
      <c r="D1" s="2" t="s">
        <v>0</v>
      </c>
      <c r="E1" s="176" t="s">
        <v>1</v>
      </c>
      <c r="F1" s="2" t="s">
        <v>216</v>
      </c>
      <c r="G1" t="s">
        <v>231</v>
      </c>
    </row>
    <row r="2" spans="1:18" x14ac:dyDescent="0.25">
      <c r="D2" s="2"/>
      <c r="E2" s="176"/>
      <c r="F2" s="2"/>
      <c r="G2" t="s">
        <v>321</v>
      </c>
    </row>
    <row r="3" spans="1:18" ht="18.75" x14ac:dyDescent="0.3">
      <c r="A3" s="102" t="s">
        <v>8</v>
      </c>
    </row>
    <row r="4" spans="1:18" x14ac:dyDescent="0.25">
      <c r="A4" s="312" t="s">
        <v>94</v>
      </c>
      <c r="B4" s="312" t="s">
        <v>148</v>
      </c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</row>
    <row r="5" spans="1:18" ht="30" x14ac:dyDescent="0.25">
      <c r="A5" s="312"/>
      <c r="B5" s="114" t="s">
        <v>193</v>
      </c>
      <c r="C5" s="114" t="s">
        <v>189</v>
      </c>
      <c r="D5" s="114" t="s">
        <v>194</v>
      </c>
      <c r="E5" s="114" t="s">
        <v>197</v>
      </c>
      <c r="F5" s="114" t="s">
        <v>191</v>
      </c>
      <c r="G5" s="114" t="s">
        <v>198</v>
      </c>
      <c r="H5" s="114" t="s">
        <v>192</v>
      </c>
      <c r="I5" s="114" t="s">
        <v>190</v>
      </c>
      <c r="J5" s="113" t="s">
        <v>196</v>
      </c>
      <c r="K5" s="114" t="s">
        <v>195</v>
      </c>
      <c r="L5" s="113" t="s">
        <v>159</v>
      </c>
      <c r="M5" s="113" t="s">
        <v>298</v>
      </c>
      <c r="N5" s="104" t="s">
        <v>160</v>
      </c>
    </row>
    <row r="6" spans="1:18" x14ac:dyDescent="0.25">
      <c r="A6" s="95" t="s">
        <v>49</v>
      </c>
      <c r="B6" s="96">
        <v>1569.4</v>
      </c>
      <c r="C6" s="96">
        <v>156.93</v>
      </c>
      <c r="D6" s="96">
        <v>176.95</v>
      </c>
      <c r="E6" s="96">
        <v>202.46000000000004</v>
      </c>
      <c r="F6" s="96">
        <v>98.960000000000008</v>
      </c>
      <c r="G6" s="96">
        <v>16.41</v>
      </c>
      <c r="H6" s="96">
        <v>71.069999999999993</v>
      </c>
      <c r="I6" s="96">
        <v>27.709999999999997</v>
      </c>
      <c r="J6" s="96">
        <v>23.06</v>
      </c>
      <c r="K6" s="96">
        <v>0.25</v>
      </c>
      <c r="L6" s="96">
        <v>518.94000000000005</v>
      </c>
      <c r="M6" s="96">
        <v>23.74</v>
      </c>
      <c r="N6" s="96">
        <v>2889.32</v>
      </c>
      <c r="O6" s="162"/>
    </row>
    <row r="7" spans="1:18" x14ac:dyDescent="0.25">
      <c r="A7" s="13" t="s">
        <v>11</v>
      </c>
      <c r="B7" s="14">
        <v>50.18</v>
      </c>
      <c r="C7" s="14">
        <v>14.61</v>
      </c>
      <c r="D7" s="14">
        <v>4</v>
      </c>
      <c r="E7" s="14"/>
      <c r="F7" s="14"/>
      <c r="G7" s="14">
        <v>0.26</v>
      </c>
      <c r="H7" s="14"/>
      <c r="I7" s="14">
        <v>0.36</v>
      </c>
      <c r="J7" s="14"/>
      <c r="K7" s="14">
        <v>0.08</v>
      </c>
      <c r="L7" s="14">
        <v>6.45</v>
      </c>
      <c r="M7" s="14"/>
      <c r="N7" s="14">
        <v>77.790000000000006</v>
      </c>
      <c r="O7" s="162"/>
    </row>
    <row r="8" spans="1:18" x14ac:dyDescent="0.25">
      <c r="A8" s="13" t="s">
        <v>12</v>
      </c>
      <c r="B8" s="14">
        <v>21.939999999999998</v>
      </c>
      <c r="C8" s="14">
        <v>32.869999999999997</v>
      </c>
      <c r="D8" s="14">
        <v>60.59</v>
      </c>
      <c r="E8" s="14">
        <v>1.03</v>
      </c>
      <c r="F8" s="14">
        <v>8.7200000000000006</v>
      </c>
      <c r="G8" s="14"/>
      <c r="H8" s="14">
        <v>3.44</v>
      </c>
      <c r="I8" s="14"/>
      <c r="J8" s="14"/>
      <c r="K8" s="14"/>
      <c r="L8" s="14">
        <v>38.03</v>
      </c>
      <c r="M8" s="14">
        <v>3.92</v>
      </c>
      <c r="N8" s="14">
        <v>170.53</v>
      </c>
      <c r="O8" s="162"/>
    </row>
    <row r="9" spans="1:18" x14ac:dyDescent="0.25">
      <c r="A9" s="13" t="s">
        <v>13</v>
      </c>
      <c r="B9" s="14">
        <v>180.15</v>
      </c>
      <c r="C9" s="14">
        <v>7.82</v>
      </c>
      <c r="D9" s="14">
        <v>11.34</v>
      </c>
      <c r="E9" s="14"/>
      <c r="F9" s="14">
        <v>2.56</v>
      </c>
      <c r="G9" s="14">
        <v>0.67999999999999994</v>
      </c>
      <c r="H9" s="14"/>
      <c r="I9" s="14">
        <v>9.3999999999999986</v>
      </c>
      <c r="J9" s="14">
        <v>10.6</v>
      </c>
      <c r="K9" s="14"/>
      <c r="L9" s="14">
        <v>66.73</v>
      </c>
      <c r="M9" s="14">
        <v>2.48</v>
      </c>
      <c r="N9" s="14">
        <v>291.76</v>
      </c>
      <c r="O9" s="162"/>
      <c r="P9" s="320" t="s">
        <v>203</v>
      </c>
      <c r="Q9" s="321"/>
      <c r="R9" s="321"/>
    </row>
    <row r="10" spans="1:18" x14ac:dyDescent="0.25">
      <c r="A10" s="13" t="s">
        <v>14</v>
      </c>
      <c r="B10" s="14">
        <v>763.99</v>
      </c>
      <c r="C10" s="14">
        <v>80.25</v>
      </c>
      <c r="D10" s="14"/>
      <c r="E10" s="14"/>
      <c r="F10" s="14">
        <v>4.7300000000000004</v>
      </c>
      <c r="G10" s="14">
        <v>9.56</v>
      </c>
      <c r="H10" s="14">
        <v>9.15</v>
      </c>
      <c r="I10" s="14">
        <v>13.84</v>
      </c>
      <c r="J10" s="14"/>
      <c r="K10" s="14"/>
      <c r="L10" s="14">
        <v>192.55</v>
      </c>
      <c r="M10" s="14">
        <v>5.46</v>
      </c>
      <c r="N10" s="14">
        <v>1078.49</v>
      </c>
      <c r="O10" s="162"/>
      <c r="P10" s="114" t="s">
        <v>193</v>
      </c>
      <c r="Q10" s="123">
        <v>19144.37</v>
      </c>
      <c r="R10" s="124">
        <f t="shared" ref="R10:R22" si="0">Q10/$Q$22</f>
        <v>0.52436336166732489</v>
      </c>
    </row>
    <row r="11" spans="1:18" x14ac:dyDescent="0.25">
      <c r="A11" s="13" t="s">
        <v>15</v>
      </c>
      <c r="B11" s="14">
        <v>1.06</v>
      </c>
      <c r="C11" s="14">
        <v>6.3</v>
      </c>
      <c r="D11" s="14">
        <v>18.52</v>
      </c>
      <c r="E11" s="14"/>
      <c r="F11" s="14">
        <v>4.59</v>
      </c>
      <c r="G11" s="14"/>
      <c r="H11" s="14"/>
      <c r="I11" s="14"/>
      <c r="J11" s="14"/>
      <c r="K11" s="14"/>
      <c r="L11" s="14">
        <v>15.43</v>
      </c>
      <c r="M11" s="14"/>
      <c r="N11" s="14">
        <v>45.9</v>
      </c>
      <c r="O11" s="162"/>
      <c r="P11" s="114" t="s">
        <v>189</v>
      </c>
      <c r="Q11" s="123">
        <v>1925.02</v>
      </c>
      <c r="R11" s="129">
        <f t="shared" si="0"/>
        <v>5.2726204021173527E-2</v>
      </c>
    </row>
    <row r="12" spans="1:18" x14ac:dyDescent="0.25">
      <c r="A12" s="13" t="s">
        <v>16</v>
      </c>
      <c r="B12" s="14">
        <v>285.36</v>
      </c>
      <c r="C12" s="14">
        <v>11.31</v>
      </c>
      <c r="D12" s="14"/>
      <c r="E12" s="14"/>
      <c r="F12" s="14">
        <v>43.120000000000005</v>
      </c>
      <c r="G12" s="14">
        <v>1.97</v>
      </c>
      <c r="H12" s="14">
        <v>0.75</v>
      </c>
      <c r="I12" s="14">
        <v>4.1100000000000003</v>
      </c>
      <c r="J12" s="14"/>
      <c r="K12" s="14">
        <v>0.17</v>
      </c>
      <c r="L12" s="14">
        <v>124.35</v>
      </c>
      <c r="M12" s="14">
        <v>3.81</v>
      </c>
      <c r="N12" s="14">
        <v>474.95</v>
      </c>
      <c r="O12" s="162"/>
      <c r="P12" s="114" t="s">
        <v>194</v>
      </c>
      <c r="Q12" s="123">
        <v>690.08</v>
      </c>
      <c r="R12" s="129">
        <f t="shared" si="0"/>
        <v>1.8901257582223267E-2</v>
      </c>
    </row>
    <row r="13" spans="1:18" x14ac:dyDescent="0.25">
      <c r="A13" s="13" t="s">
        <v>17</v>
      </c>
      <c r="B13" s="14">
        <v>240.81</v>
      </c>
      <c r="C13" s="14">
        <v>3.5</v>
      </c>
      <c r="D13" s="14">
        <v>28.66</v>
      </c>
      <c r="E13" s="14">
        <v>2.5499999999999998</v>
      </c>
      <c r="F13" s="14">
        <v>10.52</v>
      </c>
      <c r="G13" s="14">
        <v>3.61</v>
      </c>
      <c r="H13" s="14">
        <v>10.280000000000001</v>
      </c>
      <c r="I13" s="14"/>
      <c r="J13" s="14">
        <v>3.69</v>
      </c>
      <c r="K13" s="14"/>
      <c r="L13" s="14">
        <v>57.74</v>
      </c>
      <c r="M13" s="14">
        <v>1.66</v>
      </c>
      <c r="N13" s="14">
        <v>363.02</v>
      </c>
      <c r="O13" s="162"/>
      <c r="P13" s="114" t="s">
        <v>197</v>
      </c>
      <c r="Q13" s="123">
        <v>286.13</v>
      </c>
      <c r="R13" s="129">
        <f t="shared" si="0"/>
        <v>7.837086760957488E-3</v>
      </c>
    </row>
    <row r="14" spans="1:18" x14ac:dyDescent="0.25">
      <c r="A14" s="13" t="s">
        <v>18</v>
      </c>
      <c r="B14" s="14">
        <v>25.91</v>
      </c>
      <c r="C14" s="14">
        <v>0.28000000000000003</v>
      </c>
      <c r="D14" s="14">
        <v>56.48</v>
      </c>
      <c r="E14" s="14">
        <v>198.88000000000002</v>
      </c>
      <c r="F14" s="14">
        <v>24.72</v>
      </c>
      <c r="G14" s="14">
        <v>0.33</v>
      </c>
      <c r="H14" s="14">
        <v>47.45</v>
      </c>
      <c r="I14" s="14"/>
      <c r="J14" s="14">
        <v>8.77</v>
      </c>
      <c r="K14" s="14"/>
      <c r="L14" s="14">
        <v>17.66</v>
      </c>
      <c r="M14" s="14">
        <v>6.41</v>
      </c>
      <c r="N14" s="14">
        <v>386.88</v>
      </c>
      <c r="O14" s="162"/>
      <c r="P14" s="114" t="s">
        <v>198</v>
      </c>
      <c r="Q14" s="123">
        <v>249.42</v>
      </c>
      <c r="R14" s="129">
        <f>Q14/$Q$22</f>
        <v>6.8316016493133068E-3</v>
      </c>
    </row>
    <row r="15" spans="1:18" x14ac:dyDescent="0.25">
      <c r="A15" s="95" t="s">
        <v>50</v>
      </c>
      <c r="B15" s="96">
        <f>SUM(B16:B18)</f>
        <v>125</v>
      </c>
      <c r="C15" s="96">
        <f t="shared" ref="C15:N15" si="1">SUM(C16:C18)</f>
        <v>47.75</v>
      </c>
      <c r="D15" s="96">
        <f t="shared" si="1"/>
        <v>11.919999999999998</v>
      </c>
      <c r="E15" s="96">
        <f t="shared" si="1"/>
        <v>0</v>
      </c>
      <c r="F15" s="96">
        <f t="shared" si="1"/>
        <v>0.89</v>
      </c>
      <c r="G15" s="96">
        <f t="shared" si="1"/>
        <v>2.8899999999999997</v>
      </c>
      <c r="H15" s="96">
        <f t="shared" si="1"/>
        <v>0.6</v>
      </c>
      <c r="I15" s="96">
        <f t="shared" si="1"/>
        <v>8.58</v>
      </c>
      <c r="J15" s="96">
        <f t="shared" si="1"/>
        <v>0</v>
      </c>
      <c r="K15" s="96">
        <f t="shared" si="1"/>
        <v>0</v>
      </c>
      <c r="L15" s="96">
        <f t="shared" si="1"/>
        <v>185.01</v>
      </c>
      <c r="M15" s="96">
        <v>0.43</v>
      </c>
      <c r="N15" s="96">
        <f t="shared" si="1"/>
        <v>383.07000000000005</v>
      </c>
      <c r="O15" s="162"/>
      <c r="P15" s="114" t="s">
        <v>192</v>
      </c>
      <c r="Q15" s="123">
        <v>235.11</v>
      </c>
      <c r="R15" s="130">
        <f>Q15/$Q$22</f>
        <v>6.4396514464359379E-3</v>
      </c>
    </row>
    <row r="16" spans="1:18" x14ac:dyDescent="0.25">
      <c r="A16" s="13" t="s">
        <v>19</v>
      </c>
      <c r="B16" s="14">
        <v>15.700000000000003</v>
      </c>
      <c r="C16" s="14"/>
      <c r="D16" s="14"/>
      <c r="E16" s="14"/>
      <c r="F16" s="14"/>
      <c r="G16" s="14"/>
      <c r="H16" s="14"/>
      <c r="I16" s="14">
        <v>5.62</v>
      </c>
      <c r="J16" s="14"/>
      <c r="K16" s="14"/>
      <c r="L16" s="14">
        <v>7.7000000000000011</v>
      </c>
      <c r="M16" s="14">
        <v>0.13</v>
      </c>
      <c r="N16" s="14">
        <v>29.150000000000006</v>
      </c>
      <c r="O16" s="162"/>
      <c r="P16" s="114" t="s">
        <v>191</v>
      </c>
      <c r="Q16" s="123">
        <v>145.71</v>
      </c>
      <c r="R16" s="129">
        <f>Q16/$Q$22</f>
        <v>3.9909898016255389E-3</v>
      </c>
    </row>
    <row r="17" spans="1:18" x14ac:dyDescent="0.25">
      <c r="A17" s="13" t="s">
        <v>20</v>
      </c>
      <c r="B17" s="14">
        <v>34.57</v>
      </c>
      <c r="C17" s="14">
        <v>21.82</v>
      </c>
      <c r="D17" s="14">
        <v>5.34</v>
      </c>
      <c r="E17" s="14"/>
      <c r="F17" s="14">
        <v>0.89</v>
      </c>
      <c r="G17" s="14">
        <v>2.63</v>
      </c>
      <c r="H17" s="14">
        <v>0.6</v>
      </c>
      <c r="I17" s="14">
        <v>0.13</v>
      </c>
      <c r="J17" s="14"/>
      <c r="K17" s="14"/>
      <c r="L17" s="14">
        <v>64.41</v>
      </c>
      <c r="M17" s="14">
        <v>0.3</v>
      </c>
      <c r="N17" s="14">
        <v>130.69</v>
      </c>
      <c r="O17" s="162"/>
      <c r="P17" s="114" t="s">
        <v>190</v>
      </c>
      <c r="Q17" s="123">
        <v>104.62999999999998</v>
      </c>
      <c r="R17" s="130">
        <f t="shared" si="0"/>
        <v>2.8658106028692613E-3</v>
      </c>
    </row>
    <row r="18" spans="1:18" ht="18" customHeight="1" x14ac:dyDescent="0.25">
      <c r="A18" s="13" t="s">
        <v>21</v>
      </c>
      <c r="B18" s="14">
        <v>74.73</v>
      </c>
      <c r="C18" s="14">
        <v>25.930000000000003</v>
      </c>
      <c r="D18" s="14">
        <v>6.5799999999999992</v>
      </c>
      <c r="E18" s="14"/>
      <c r="F18" s="14"/>
      <c r="G18" s="14">
        <v>0.26</v>
      </c>
      <c r="H18" s="14"/>
      <c r="I18" s="14">
        <v>2.83</v>
      </c>
      <c r="J18" s="14"/>
      <c r="K18" s="14"/>
      <c r="L18" s="14">
        <v>112.89999999999999</v>
      </c>
      <c r="M18" s="14"/>
      <c r="N18" s="14">
        <v>223.23000000000002</v>
      </c>
      <c r="O18" s="162"/>
      <c r="P18" s="113" t="s">
        <v>196</v>
      </c>
      <c r="Q18" s="123">
        <v>39.82</v>
      </c>
      <c r="R18" s="130">
        <f t="shared" si="0"/>
        <v>1.0906678601381441E-3</v>
      </c>
    </row>
    <row r="19" spans="1:18" x14ac:dyDescent="0.25">
      <c r="A19" s="95" t="s">
        <v>60</v>
      </c>
      <c r="B19" s="96">
        <v>117.08999999999999</v>
      </c>
      <c r="C19" s="96">
        <v>28.259999999999998</v>
      </c>
      <c r="D19" s="96">
        <v>0.6</v>
      </c>
      <c r="E19" s="96">
        <v>0.27</v>
      </c>
      <c r="F19" s="96">
        <v>2.52</v>
      </c>
      <c r="G19" s="96">
        <v>0.01</v>
      </c>
      <c r="H19" s="96"/>
      <c r="I19" s="96">
        <v>0.06</v>
      </c>
      <c r="J19" s="96"/>
      <c r="K19" s="96"/>
      <c r="L19" s="96">
        <v>13.71</v>
      </c>
      <c r="M19" s="96">
        <v>1.79</v>
      </c>
      <c r="N19" s="96">
        <v>164.30999999999997</v>
      </c>
      <c r="O19" s="162"/>
      <c r="P19" s="114" t="s">
        <v>195</v>
      </c>
      <c r="Q19" s="123">
        <v>87.33</v>
      </c>
      <c r="R19" s="130">
        <f t="shared" si="0"/>
        <v>2.3919644456520369E-3</v>
      </c>
    </row>
    <row r="20" spans="1:18" ht="15" customHeight="1" x14ac:dyDescent="0.25">
      <c r="A20" s="13" t="s">
        <v>22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>
        <v>2.21</v>
      </c>
      <c r="M20" s="14"/>
      <c r="N20" s="14">
        <v>2.21</v>
      </c>
      <c r="O20" s="162"/>
      <c r="P20" s="113" t="s">
        <v>159</v>
      </c>
      <c r="Q20" s="123">
        <v>9628.36</v>
      </c>
      <c r="R20" s="124">
        <f t="shared" si="0"/>
        <v>0.26372031134705426</v>
      </c>
    </row>
    <row r="21" spans="1:18" x14ac:dyDescent="0.25">
      <c r="A21" s="13" t="s">
        <v>23</v>
      </c>
      <c r="B21" s="14">
        <v>0.92</v>
      </c>
      <c r="C21" s="14"/>
      <c r="D21" s="14"/>
      <c r="E21" s="14"/>
      <c r="F21" s="14"/>
      <c r="G21" s="14"/>
      <c r="H21" s="14"/>
      <c r="I21" s="14">
        <v>0.06</v>
      </c>
      <c r="J21" s="14"/>
      <c r="K21" s="14"/>
      <c r="L21" s="14">
        <v>1.22</v>
      </c>
      <c r="M21" s="14">
        <v>0.02</v>
      </c>
      <c r="N21" s="14">
        <v>2.2199999999999998</v>
      </c>
      <c r="O21" s="162"/>
      <c r="P21" s="113" t="s">
        <v>298</v>
      </c>
      <c r="Q21" s="123">
        <v>3973.32</v>
      </c>
      <c r="R21" s="124">
        <f t="shared" si="0"/>
        <v>0.10882904123666727</v>
      </c>
    </row>
    <row r="22" spans="1:18" x14ac:dyDescent="0.25">
      <c r="A22" s="13" t="s">
        <v>24</v>
      </c>
      <c r="B22" s="14">
        <v>116.16999999999999</v>
      </c>
      <c r="C22" s="14">
        <v>28.259999999999998</v>
      </c>
      <c r="D22" s="14">
        <v>0.6</v>
      </c>
      <c r="E22" s="14">
        <v>0.27</v>
      </c>
      <c r="F22" s="14">
        <v>2.52</v>
      </c>
      <c r="G22" s="14">
        <v>0.01</v>
      </c>
      <c r="H22" s="14"/>
      <c r="I22" s="14"/>
      <c r="J22" s="14"/>
      <c r="K22" s="14"/>
      <c r="L22" s="14">
        <v>10.280000000000001</v>
      </c>
      <c r="M22" s="14">
        <v>1.77</v>
      </c>
      <c r="N22" s="14">
        <v>159.87999999999997</v>
      </c>
      <c r="O22" s="162"/>
      <c r="P22" s="126" t="s">
        <v>201</v>
      </c>
      <c r="Q22" s="127">
        <v>36509.74</v>
      </c>
      <c r="R22" s="128">
        <f t="shared" si="0"/>
        <v>1</v>
      </c>
    </row>
    <row r="23" spans="1:18" x14ac:dyDescent="0.25">
      <c r="A23" s="95" t="s">
        <v>53</v>
      </c>
      <c r="B23" s="96">
        <v>1192.55</v>
      </c>
      <c r="C23" s="96">
        <v>235.93999999999997</v>
      </c>
      <c r="D23" s="96">
        <v>15.870000000000001</v>
      </c>
      <c r="E23" s="96">
        <v>2.48</v>
      </c>
      <c r="F23" s="96">
        <v>0.23</v>
      </c>
      <c r="G23" s="96">
        <v>158.57000000000002</v>
      </c>
      <c r="H23" s="96">
        <v>54.38</v>
      </c>
      <c r="I23" s="96">
        <v>30.41</v>
      </c>
      <c r="J23" s="96">
        <v>1.31</v>
      </c>
      <c r="K23" s="96"/>
      <c r="L23" s="96"/>
      <c r="M23" s="96">
        <v>69.930000000000007</v>
      </c>
      <c r="N23" s="96">
        <v>1761.6699999999998</v>
      </c>
      <c r="O23" s="162"/>
    </row>
    <row r="24" spans="1:18" x14ac:dyDescent="0.25">
      <c r="A24" s="13" t="s">
        <v>34</v>
      </c>
      <c r="B24" s="14">
        <v>75.55</v>
      </c>
      <c r="C24" s="14">
        <v>7.48</v>
      </c>
      <c r="D24" s="14">
        <v>0.05</v>
      </c>
      <c r="E24" s="14"/>
      <c r="F24" s="14"/>
      <c r="G24" s="14">
        <v>10.829999999999998</v>
      </c>
      <c r="H24" s="14"/>
      <c r="I24" s="14">
        <v>8.0299999999999994</v>
      </c>
      <c r="J24" s="14"/>
      <c r="K24" s="14"/>
      <c r="L24" s="14"/>
      <c r="M24" s="14"/>
      <c r="N24" s="14">
        <v>101.94</v>
      </c>
      <c r="O24" s="162"/>
    </row>
    <row r="25" spans="1:18" x14ac:dyDescent="0.25">
      <c r="A25" s="13" t="s">
        <v>35</v>
      </c>
      <c r="B25" s="14">
        <v>30.68</v>
      </c>
      <c r="C25" s="14">
        <v>4.8600000000000003</v>
      </c>
      <c r="D25" s="14"/>
      <c r="E25" s="14"/>
      <c r="F25" s="14"/>
      <c r="G25" s="14">
        <v>13.960000000000003</v>
      </c>
      <c r="H25" s="14">
        <v>2.62</v>
      </c>
      <c r="I25" s="14">
        <v>1.86</v>
      </c>
      <c r="J25" s="14"/>
      <c r="K25" s="14"/>
      <c r="L25" s="14"/>
      <c r="M25" s="14">
        <v>21.5</v>
      </c>
      <c r="N25" s="14">
        <v>75.480000000000018</v>
      </c>
      <c r="O25" s="162"/>
    </row>
    <row r="26" spans="1:18" x14ac:dyDescent="0.25">
      <c r="A26" s="13" t="s">
        <v>36</v>
      </c>
      <c r="B26" s="14">
        <v>4.96</v>
      </c>
      <c r="C26" s="14"/>
      <c r="D26" s="14">
        <v>1.29</v>
      </c>
      <c r="E26" s="14"/>
      <c r="F26" s="14"/>
      <c r="G26" s="14">
        <v>0.97</v>
      </c>
      <c r="H26" s="14"/>
      <c r="I26" s="14">
        <v>0.47</v>
      </c>
      <c r="J26" s="14"/>
      <c r="K26" s="14"/>
      <c r="L26" s="14"/>
      <c r="M26" s="14"/>
      <c r="N26" s="14">
        <v>7.6899999999999995</v>
      </c>
      <c r="O26" s="162"/>
    </row>
    <row r="27" spans="1:18" x14ac:dyDescent="0.25">
      <c r="A27" s="13" t="s">
        <v>37</v>
      </c>
      <c r="B27" s="14">
        <v>63.73</v>
      </c>
      <c r="C27" s="14"/>
      <c r="D27" s="14"/>
      <c r="E27" s="14"/>
      <c r="F27" s="14"/>
      <c r="G27" s="14">
        <v>8.9499999999999993</v>
      </c>
      <c r="H27" s="14"/>
      <c r="I27" s="14">
        <v>0.19</v>
      </c>
      <c r="J27" s="14"/>
      <c r="K27" s="14"/>
      <c r="L27" s="14"/>
      <c r="M27" s="14"/>
      <c r="N27" s="14">
        <v>72.86999999999999</v>
      </c>
      <c r="O27" s="162"/>
    </row>
    <row r="28" spans="1:18" x14ac:dyDescent="0.25">
      <c r="A28" s="13" t="s">
        <v>38</v>
      </c>
      <c r="B28" s="14">
        <v>90.05</v>
      </c>
      <c r="C28" s="14"/>
      <c r="D28" s="14"/>
      <c r="E28" s="14"/>
      <c r="F28" s="14"/>
      <c r="G28" s="14">
        <v>4.92</v>
      </c>
      <c r="H28" s="14"/>
      <c r="I28" s="14">
        <v>9.5300000000000011</v>
      </c>
      <c r="J28" s="14"/>
      <c r="K28" s="14"/>
      <c r="L28" s="14"/>
      <c r="M28" s="14">
        <v>0.27</v>
      </c>
      <c r="N28" s="14">
        <v>104.77</v>
      </c>
      <c r="O28" s="162"/>
    </row>
    <row r="29" spans="1:18" x14ac:dyDescent="0.25">
      <c r="A29" s="13" t="s">
        <v>39</v>
      </c>
      <c r="B29" s="14">
        <v>80.73</v>
      </c>
      <c r="C29" s="14">
        <v>22.97</v>
      </c>
      <c r="D29" s="14">
        <v>13.32</v>
      </c>
      <c r="E29" s="14"/>
      <c r="F29" s="14"/>
      <c r="G29" s="14">
        <v>41.94</v>
      </c>
      <c r="H29" s="14"/>
      <c r="I29" s="14"/>
      <c r="J29" s="14"/>
      <c r="K29" s="14"/>
      <c r="L29" s="14"/>
      <c r="M29" s="14">
        <v>3.84</v>
      </c>
      <c r="N29" s="14">
        <v>162.80000000000001</v>
      </c>
      <c r="O29" s="162"/>
    </row>
    <row r="30" spans="1:18" x14ac:dyDescent="0.25">
      <c r="A30" s="13" t="s">
        <v>40</v>
      </c>
      <c r="B30" s="14">
        <v>4.29</v>
      </c>
      <c r="C30" s="14"/>
      <c r="D30" s="14"/>
      <c r="E30" s="14"/>
      <c r="F30" s="14"/>
      <c r="G30" s="14">
        <v>28.740000000000002</v>
      </c>
      <c r="H30" s="14"/>
      <c r="I30" s="14"/>
      <c r="J30" s="14"/>
      <c r="K30" s="14"/>
      <c r="L30" s="14"/>
      <c r="M30" s="14"/>
      <c r="N30" s="14">
        <v>33.03</v>
      </c>
      <c r="O30" s="162"/>
    </row>
    <row r="31" spans="1:18" x14ac:dyDescent="0.25">
      <c r="A31" s="13" t="s">
        <v>41</v>
      </c>
      <c r="B31" s="14">
        <v>398.94999999999993</v>
      </c>
      <c r="C31" s="14">
        <v>155.80999999999997</v>
      </c>
      <c r="D31" s="14">
        <v>1.21</v>
      </c>
      <c r="E31" s="14"/>
      <c r="F31" s="14"/>
      <c r="G31" s="14">
        <v>29.77</v>
      </c>
      <c r="H31" s="14">
        <v>31.63</v>
      </c>
      <c r="I31" s="14">
        <v>10.330000000000002</v>
      </c>
      <c r="J31" s="14">
        <v>1.31</v>
      </c>
      <c r="K31" s="14"/>
      <c r="L31" s="14"/>
      <c r="M31" s="14"/>
      <c r="N31" s="14">
        <v>629.00999999999988</v>
      </c>
      <c r="O31" s="162"/>
    </row>
    <row r="32" spans="1:18" x14ac:dyDescent="0.25">
      <c r="A32" s="13" t="s">
        <v>42</v>
      </c>
      <c r="B32" s="14">
        <v>443.61</v>
      </c>
      <c r="C32" s="14">
        <v>44.82</v>
      </c>
      <c r="D32" s="14"/>
      <c r="E32" s="14">
        <v>2.48</v>
      </c>
      <c r="F32" s="14">
        <v>0.23</v>
      </c>
      <c r="G32" s="14">
        <v>18.489999999999998</v>
      </c>
      <c r="H32" s="14">
        <v>20.130000000000003</v>
      </c>
      <c r="I32" s="14"/>
      <c r="J32" s="14"/>
      <c r="K32" s="14"/>
      <c r="L32" s="14"/>
      <c r="M32" s="14">
        <v>44.32</v>
      </c>
      <c r="N32" s="14">
        <v>574.08000000000015</v>
      </c>
      <c r="O32" s="162"/>
    </row>
    <row r="33" spans="1:15" x14ac:dyDescent="0.25">
      <c r="A33" s="95" t="s">
        <v>52</v>
      </c>
      <c r="B33" s="96">
        <v>15344.28</v>
      </c>
      <c r="C33" s="96">
        <v>1224.71</v>
      </c>
      <c r="D33" s="96">
        <v>161.25</v>
      </c>
      <c r="E33" s="96">
        <v>67.73</v>
      </c>
      <c r="F33" s="96">
        <v>32.700000000000003</v>
      </c>
      <c r="G33" s="96">
        <v>25.51</v>
      </c>
      <c r="H33" s="96">
        <v>104.00999999999999</v>
      </c>
      <c r="I33" s="96">
        <v>24.48</v>
      </c>
      <c r="J33" s="96">
        <v>13.9</v>
      </c>
      <c r="K33" s="96">
        <v>87.080000000000013</v>
      </c>
      <c r="L33" s="96">
        <v>8331.65</v>
      </c>
      <c r="M33" s="96">
        <v>3833.56</v>
      </c>
      <c r="N33" s="96">
        <v>29250.860000000004</v>
      </c>
      <c r="O33" s="162"/>
    </row>
    <row r="34" spans="1:15" x14ac:dyDescent="0.25">
      <c r="A34" s="13" t="s">
        <v>29</v>
      </c>
      <c r="B34" s="14">
        <v>3914.4199999999996</v>
      </c>
      <c r="C34" s="14">
        <v>224.57000000000005</v>
      </c>
      <c r="D34" s="14">
        <v>34.99</v>
      </c>
      <c r="E34" s="14">
        <v>21.080000000000002</v>
      </c>
      <c r="F34" s="14">
        <v>5.75</v>
      </c>
      <c r="G34" s="14">
        <v>6.59</v>
      </c>
      <c r="H34" s="14">
        <v>26.779999999999998</v>
      </c>
      <c r="I34" s="14">
        <v>1.8399999999999999</v>
      </c>
      <c r="J34" s="14"/>
      <c r="K34" s="14">
        <v>19.050000000000004</v>
      </c>
      <c r="L34" s="14">
        <v>1774.99</v>
      </c>
      <c r="M34" s="14">
        <v>851.8</v>
      </c>
      <c r="N34" s="14">
        <v>6881.86</v>
      </c>
      <c r="O34" s="162"/>
    </row>
    <row r="35" spans="1:15" x14ac:dyDescent="0.25">
      <c r="A35" s="13" t="s">
        <v>30</v>
      </c>
      <c r="B35" s="14">
        <v>4843.92</v>
      </c>
      <c r="C35" s="14">
        <v>478.96</v>
      </c>
      <c r="D35" s="14">
        <v>49.959999999999994</v>
      </c>
      <c r="E35" s="14">
        <v>44.870000000000005</v>
      </c>
      <c r="F35" s="14">
        <v>5.6300000000000008</v>
      </c>
      <c r="G35" s="14"/>
      <c r="H35" s="14">
        <v>38.94</v>
      </c>
      <c r="I35" s="14">
        <v>8.58</v>
      </c>
      <c r="J35" s="14"/>
      <c r="K35" s="14">
        <v>56.400000000000006</v>
      </c>
      <c r="L35" s="14">
        <v>2091.9099999999994</v>
      </c>
      <c r="M35" s="14">
        <v>1350</v>
      </c>
      <c r="N35" s="14">
        <v>8969.93</v>
      </c>
      <c r="O35" s="162"/>
    </row>
    <row r="36" spans="1:15" x14ac:dyDescent="0.25">
      <c r="A36" s="13" t="s">
        <v>31</v>
      </c>
      <c r="B36" s="14">
        <v>2378.4400000000005</v>
      </c>
      <c r="C36" s="14">
        <v>174.89000000000001</v>
      </c>
      <c r="D36" s="14">
        <v>27.05</v>
      </c>
      <c r="E36" s="14"/>
      <c r="F36" s="14">
        <v>0.86</v>
      </c>
      <c r="G36" s="14">
        <v>7.9799999999999995</v>
      </c>
      <c r="H36" s="14">
        <v>3.21</v>
      </c>
      <c r="I36" s="14">
        <v>13.6</v>
      </c>
      <c r="J36" s="14"/>
      <c r="K36" s="14">
        <v>9.3099999999999987</v>
      </c>
      <c r="L36" s="14">
        <v>1364.6299999999999</v>
      </c>
      <c r="M36" s="14">
        <v>902.47</v>
      </c>
      <c r="N36" s="14">
        <v>4882.4400000000005</v>
      </c>
      <c r="O36" s="162"/>
    </row>
    <row r="37" spans="1:15" x14ac:dyDescent="0.25">
      <c r="A37" s="13" t="s">
        <v>32</v>
      </c>
      <c r="B37" s="14">
        <v>90.82</v>
      </c>
      <c r="C37" s="14">
        <v>2.87</v>
      </c>
      <c r="D37" s="14">
        <v>2.11</v>
      </c>
      <c r="E37" s="14"/>
      <c r="F37" s="14"/>
      <c r="G37" s="14"/>
      <c r="H37" s="14"/>
      <c r="I37" s="14"/>
      <c r="J37" s="14"/>
      <c r="K37" s="14"/>
      <c r="L37" s="14">
        <v>84.03</v>
      </c>
      <c r="M37" s="14">
        <v>18.03</v>
      </c>
      <c r="N37" s="14">
        <v>197.86</v>
      </c>
      <c r="O37" s="162"/>
    </row>
    <row r="38" spans="1:15" x14ac:dyDescent="0.25">
      <c r="A38" s="13" t="s">
        <v>33</v>
      </c>
      <c r="B38" s="14">
        <v>4116.68</v>
      </c>
      <c r="C38" s="14">
        <v>343.41999999999996</v>
      </c>
      <c r="D38" s="14">
        <v>47.14</v>
      </c>
      <c r="E38" s="14">
        <v>1.78</v>
      </c>
      <c r="F38" s="14">
        <v>20.46</v>
      </c>
      <c r="G38" s="14">
        <v>10.940000000000001</v>
      </c>
      <c r="H38" s="14">
        <v>35.08</v>
      </c>
      <c r="I38" s="14">
        <v>0.46</v>
      </c>
      <c r="J38" s="14">
        <v>13.9</v>
      </c>
      <c r="K38" s="14">
        <v>2.3199999999999998</v>
      </c>
      <c r="L38" s="14">
        <v>3016.0899999999997</v>
      </c>
      <c r="M38" s="14">
        <v>710.5</v>
      </c>
      <c r="N38" s="14">
        <v>8318.77</v>
      </c>
      <c r="O38" s="162"/>
    </row>
    <row r="39" spans="1:15" x14ac:dyDescent="0.25">
      <c r="A39" s="95" t="s">
        <v>51</v>
      </c>
      <c r="B39" s="96">
        <f>SUM(B40:B43)</f>
        <v>23.810000000000002</v>
      </c>
      <c r="C39" s="96">
        <f t="shared" ref="C39:N39" si="2">SUM(C40:C43)</f>
        <v>0</v>
      </c>
      <c r="D39" s="96">
        <f t="shared" si="2"/>
        <v>0</v>
      </c>
      <c r="E39" s="96">
        <f t="shared" si="2"/>
        <v>0</v>
      </c>
      <c r="F39" s="96">
        <f t="shared" si="2"/>
        <v>0</v>
      </c>
      <c r="G39" s="96">
        <f t="shared" si="2"/>
        <v>2.56</v>
      </c>
      <c r="H39" s="96">
        <f t="shared" si="2"/>
        <v>0</v>
      </c>
      <c r="I39" s="96">
        <f t="shared" si="2"/>
        <v>4.1899999999999995</v>
      </c>
      <c r="J39" s="96">
        <f t="shared" si="2"/>
        <v>0</v>
      </c>
      <c r="K39" s="96">
        <f t="shared" si="2"/>
        <v>0</v>
      </c>
      <c r="L39" s="96">
        <f t="shared" si="2"/>
        <v>201.29000000000002</v>
      </c>
      <c r="M39" s="96"/>
      <c r="N39" s="96">
        <f t="shared" si="2"/>
        <v>231.85000000000002</v>
      </c>
      <c r="O39" s="162"/>
    </row>
    <row r="40" spans="1:15" x14ac:dyDescent="0.25">
      <c r="A40" s="13" t="s">
        <v>25</v>
      </c>
      <c r="B40" s="14">
        <v>0.18</v>
      </c>
      <c r="C40" s="14"/>
      <c r="D40" s="14"/>
      <c r="E40" s="14"/>
      <c r="F40" s="14"/>
      <c r="G40" s="14"/>
      <c r="H40" s="14"/>
      <c r="I40" s="14"/>
      <c r="J40" s="14"/>
      <c r="K40" s="14"/>
      <c r="L40" s="14">
        <v>2.0499999999999998</v>
      </c>
      <c r="M40" s="14"/>
      <c r="N40" s="14">
        <v>2.23</v>
      </c>
      <c r="O40" s="162"/>
    </row>
    <row r="41" spans="1:15" x14ac:dyDescent="0.25">
      <c r="A41" s="13" t="s">
        <v>26</v>
      </c>
      <c r="B41" s="14"/>
      <c r="C41" s="14"/>
      <c r="D41" s="14"/>
      <c r="E41" s="14"/>
      <c r="F41" s="14"/>
      <c r="G41" s="14">
        <v>2.54</v>
      </c>
      <c r="H41" s="14"/>
      <c r="I41" s="14"/>
      <c r="J41" s="14"/>
      <c r="K41" s="14"/>
      <c r="L41" s="14"/>
      <c r="M41" s="14"/>
      <c r="N41" s="14">
        <v>2.54</v>
      </c>
      <c r="O41" s="162"/>
    </row>
    <row r="42" spans="1:15" x14ac:dyDescent="0.25">
      <c r="A42" s="13" t="s">
        <v>27</v>
      </c>
      <c r="B42" s="14">
        <v>23.060000000000002</v>
      </c>
      <c r="C42" s="14"/>
      <c r="D42" s="14"/>
      <c r="E42" s="14"/>
      <c r="F42" s="14"/>
      <c r="G42" s="14"/>
      <c r="H42" s="14"/>
      <c r="I42" s="14">
        <v>4.1899999999999995</v>
      </c>
      <c r="J42" s="14"/>
      <c r="K42" s="14"/>
      <c r="L42" s="14">
        <v>193.46</v>
      </c>
      <c r="M42" s="14"/>
      <c r="N42" s="14">
        <v>220.71</v>
      </c>
      <c r="O42" s="162"/>
    </row>
    <row r="43" spans="1:15" x14ac:dyDescent="0.25">
      <c r="A43" s="13" t="s">
        <v>28</v>
      </c>
      <c r="B43" s="14">
        <v>0.56999999999999995</v>
      </c>
      <c r="C43" s="14"/>
      <c r="D43" s="14"/>
      <c r="E43" s="14"/>
      <c r="F43" s="14"/>
      <c r="G43" s="14">
        <v>0.02</v>
      </c>
      <c r="H43" s="14"/>
      <c r="I43" s="14"/>
      <c r="J43" s="14"/>
      <c r="K43" s="14"/>
      <c r="L43" s="14">
        <v>5.7799999999999994</v>
      </c>
      <c r="M43" s="14"/>
      <c r="N43" s="14">
        <v>6.3699999999999992</v>
      </c>
      <c r="O43" s="162"/>
    </row>
    <row r="44" spans="1:15" x14ac:dyDescent="0.25">
      <c r="A44" s="95" t="s">
        <v>54</v>
      </c>
      <c r="B44" s="96">
        <v>538.93000000000006</v>
      </c>
      <c r="C44" s="96">
        <v>169.73000000000002</v>
      </c>
      <c r="D44" s="96">
        <v>270.12</v>
      </c>
      <c r="E44" s="96">
        <v>13.19</v>
      </c>
      <c r="F44" s="96"/>
      <c r="G44" s="96">
        <v>35.86</v>
      </c>
      <c r="H44" s="96">
        <v>5.05</v>
      </c>
      <c r="I44" s="96">
        <v>7.8</v>
      </c>
      <c r="J44" s="96">
        <v>1.5499999999999998</v>
      </c>
      <c r="K44" s="96"/>
      <c r="L44" s="96">
        <v>60.9</v>
      </c>
      <c r="M44" s="96">
        <v>37.78</v>
      </c>
      <c r="N44" s="96">
        <v>1140.9099999999999</v>
      </c>
      <c r="O44" s="162"/>
    </row>
    <row r="45" spans="1:15" x14ac:dyDescent="0.25">
      <c r="A45" s="13" t="s">
        <v>43</v>
      </c>
      <c r="B45" s="14">
        <v>491.84000000000003</v>
      </c>
      <c r="C45" s="14">
        <v>155.71</v>
      </c>
      <c r="D45" s="14">
        <v>264.31</v>
      </c>
      <c r="E45" s="14">
        <v>13.19</v>
      </c>
      <c r="F45" s="14"/>
      <c r="G45" s="14">
        <v>31.979999999999997</v>
      </c>
      <c r="H45" s="14"/>
      <c r="I45" s="14">
        <v>7.8</v>
      </c>
      <c r="J45" s="14"/>
      <c r="K45" s="14"/>
      <c r="L45" s="14">
        <v>46.58</v>
      </c>
      <c r="M45" s="14">
        <v>36.76</v>
      </c>
      <c r="N45" s="14">
        <v>1048.1699999999998</v>
      </c>
      <c r="O45" s="162"/>
    </row>
    <row r="46" spans="1:15" x14ac:dyDescent="0.25">
      <c r="A46" s="13" t="s">
        <v>44</v>
      </c>
      <c r="B46" s="14">
        <v>47.089999999999996</v>
      </c>
      <c r="C46" s="14">
        <v>14.02</v>
      </c>
      <c r="D46" s="14">
        <v>5.8100000000000005</v>
      </c>
      <c r="E46" s="14"/>
      <c r="F46" s="14"/>
      <c r="G46" s="14">
        <v>3.8800000000000003</v>
      </c>
      <c r="H46" s="14">
        <v>5.05</v>
      </c>
      <c r="I46" s="14"/>
      <c r="J46" s="14">
        <v>1.5499999999999998</v>
      </c>
      <c r="K46" s="14"/>
      <c r="L46" s="14">
        <v>14.32</v>
      </c>
      <c r="M46" s="14">
        <v>1.02</v>
      </c>
      <c r="N46" s="14">
        <v>92.74</v>
      </c>
      <c r="O46" s="162"/>
    </row>
    <row r="47" spans="1:15" x14ac:dyDescent="0.25">
      <c r="A47" s="119" t="s">
        <v>75</v>
      </c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>
        <v>0.96000000000000008</v>
      </c>
      <c r="M47" s="96"/>
      <c r="N47" s="96">
        <v>0.96000000000000008</v>
      </c>
      <c r="O47" s="162"/>
    </row>
    <row r="48" spans="1:15" x14ac:dyDescent="0.25">
      <c r="A48" s="13" t="s">
        <v>76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>
        <v>0.96000000000000008</v>
      </c>
      <c r="M48" s="14"/>
      <c r="N48" s="14">
        <v>0.96000000000000008</v>
      </c>
      <c r="O48" s="162"/>
    </row>
    <row r="49" spans="1:15" x14ac:dyDescent="0.25">
      <c r="A49" s="95" t="s">
        <v>55</v>
      </c>
      <c r="B49" s="96">
        <v>36.299999999999997</v>
      </c>
      <c r="C49" s="96">
        <v>3.81</v>
      </c>
      <c r="D49" s="96">
        <v>1.68</v>
      </c>
      <c r="E49" s="96"/>
      <c r="F49" s="96"/>
      <c r="G49" s="96"/>
      <c r="H49" s="96"/>
      <c r="I49" s="96"/>
      <c r="J49" s="96"/>
      <c r="K49" s="96"/>
      <c r="L49" s="96">
        <v>4.2600000000000007</v>
      </c>
      <c r="M49" s="96"/>
      <c r="N49" s="96">
        <v>46.05</v>
      </c>
      <c r="O49" s="162"/>
    </row>
    <row r="50" spans="1:15" x14ac:dyDescent="0.25">
      <c r="A50" s="13" t="s">
        <v>45</v>
      </c>
      <c r="B50" s="14">
        <v>36.299999999999997</v>
      </c>
      <c r="C50" s="14">
        <v>3.81</v>
      </c>
      <c r="D50" s="14">
        <v>1.68</v>
      </c>
      <c r="E50" s="14"/>
      <c r="F50" s="14"/>
      <c r="G50" s="14"/>
      <c r="H50" s="14"/>
      <c r="I50" s="14"/>
      <c r="J50" s="14"/>
      <c r="K50" s="14"/>
      <c r="L50" s="14">
        <v>4.2600000000000007</v>
      </c>
      <c r="M50" s="14"/>
      <c r="N50" s="14">
        <v>46.05</v>
      </c>
      <c r="O50" s="162"/>
    </row>
    <row r="51" spans="1:15" x14ac:dyDescent="0.25">
      <c r="A51" s="119" t="s">
        <v>80</v>
      </c>
      <c r="B51" s="96">
        <v>28.39</v>
      </c>
      <c r="C51" s="96"/>
      <c r="D51" s="96"/>
      <c r="E51" s="96"/>
      <c r="F51" s="96"/>
      <c r="G51" s="96"/>
      <c r="H51" s="96"/>
      <c r="I51" s="96">
        <v>0.74</v>
      </c>
      <c r="J51" s="96"/>
      <c r="K51" s="96"/>
      <c r="L51" s="96">
        <v>229.98999999999998</v>
      </c>
      <c r="M51" s="96"/>
      <c r="N51" s="96">
        <v>259.12</v>
      </c>
      <c r="O51" s="162"/>
    </row>
    <row r="52" spans="1:15" x14ac:dyDescent="0.25">
      <c r="A52" s="13" t="s">
        <v>81</v>
      </c>
      <c r="B52" s="14">
        <v>28.39</v>
      </c>
      <c r="C52" s="14"/>
      <c r="D52" s="14"/>
      <c r="E52" s="14"/>
      <c r="F52" s="14"/>
      <c r="G52" s="14"/>
      <c r="H52" s="14"/>
      <c r="I52" s="14">
        <v>0.74</v>
      </c>
      <c r="J52" s="14"/>
      <c r="K52" s="14"/>
      <c r="L52" s="14">
        <v>229.98999999999998</v>
      </c>
      <c r="M52" s="14"/>
      <c r="N52" s="14">
        <v>259.12</v>
      </c>
      <c r="O52" s="162"/>
    </row>
    <row r="53" spans="1:15" x14ac:dyDescent="0.25">
      <c r="A53" s="95" t="s">
        <v>56</v>
      </c>
      <c r="B53" s="96">
        <v>168.62</v>
      </c>
      <c r="C53" s="96">
        <v>57.889999999999993</v>
      </c>
      <c r="D53" s="96">
        <v>46.78</v>
      </c>
      <c r="E53" s="96"/>
      <c r="F53" s="96">
        <v>10.41</v>
      </c>
      <c r="G53" s="96">
        <v>7.61</v>
      </c>
      <c r="H53" s="96"/>
      <c r="I53" s="96">
        <v>0.66</v>
      </c>
      <c r="J53" s="96"/>
      <c r="K53" s="96"/>
      <c r="L53" s="96">
        <v>69.389999999999986</v>
      </c>
      <c r="M53" s="96">
        <v>5.63</v>
      </c>
      <c r="N53" s="96">
        <v>366.98999999999995</v>
      </c>
      <c r="O53" s="162"/>
    </row>
    <row r="54" spans="1:15" x14ac:dyDescent="0.25">
      <c r="A54" s="13" t="s">
        <v>46</v>
      </c>
      <c r="B54" s="14">
        <v>168.62</v>
      </c>
      <c r="C54" s="14">
        <v>57.889999999999993</v>
      </c>
      <c r="D54" s="14">
        <v>46.78</v>
      </c>
      <c r="E54" s="14"/>
      <c r="F54" s="14">
        <v>10.41</v>
      </c>
      <c r="G54" s="14">
        <v>7.61</v>
      </c>
      <c r="H54" s="14"/>
      <c r="I54" s="14">
        <v>0.66</v>
      </c>
      <c r="J54" s="14"/>
      <c r="K54" s="14"/>
      <c r="L54" s="14">
        <v>69.389999999999986</v>
      </c>
      <c r="M54" s="14">
        <v>5.63</v>
      </c>
      <c r="N54" s="14">
        <v>366.98999999999995</v>
      </c>
      <c r="O54" s="162"/>
    </row>
    <row r="55" spans="1:15" x14ac:dyDescent="0.25">
      <c r="A55" s="95" t="s">
        <v>57</v>
      </c>
      <c r="B55" s="96"/>
      <c r="C55" s="96"/>
      <c r="D55" s="96">
        <v>1.91</v>
      </c>
      <c r="E55" s="96"/>
      <c r="F55" s="96"/>
      <c r="G55" s="96"/>
      <c r="H55" s="96"/>
      <c r="I55" s="96"/>
      <c r="J55" s="96"/>
      <c r="K55" s="96"/>
      <c r="L55" s="96">
        <v>12.26</v>
      </c>
      <c r="M55" s="96">
        <v>0.46</v>
      </c>
      <c r="N55" s="96">
        <v>14.629999999999999</v>
      </c>
      <c r="O55" s="162"/>
    </row>
    <row r="56" spans="1:15" x14ac:dyDescent="0.25">
      <c r="A56" s="13" t="s">
        <v>47</v>
      </c>
      <c r="B56" s="14"/>
      <c r="C56" s="14"/>
      <c r="D56" s="14">
        <v>1.91</v>
      </c>
      <c r="E56" s="14"/>
      <c r="F56" s="14"/>
      <c r="G56" s="14"/>
      <c r="H56" s="14"/>
      <c r="I56" s="14"/>
      <c r="J56" s="14"/>
      <c r="K56" s="14"/>
      <c r="L56" s="14">
        <v>12.26</v>
      </c>
      <c r="M56" s="14">
        <v>0.46</v>
      </c>
      <c r="N56" s="14">
        <v>14.629999999999999</v>
      </c>
      <c r="O56" s="162"/>
    </row>
    <row r="57" spans="1:15" x14ac:dyDescent="0.25">
      <c r="A57" s="112" t="s">
        <v>59</v>
      </c>
      <c r="B57" s="115">
        <v>19144.37</v>
      </c>
      <c r="C57" s="115">
        <v>1925.02</v>
      </c>
      <c r="D57" s="115">
        <v>690.08</v>
      </c>
      <c r="E57" s="115">
        <v>286.13</v>
      </c>
      <c r="F57" s="115">
        <v>145.71</v>
      </c>
      <c r="G57" s="115">
        <v>249.42</v>
      </c>
      <c r="H57" s="115">
        <v>235.11</v>
      </c>
      <c r="I57" s="115">
        <v>104.62999999999998</v>
      </c>
      <c r="J57" s="115">
        <v>39.82</v>
      </c>
      <c r="K57" s="115">
        <v>87.33</v>
      </c>
      <c r="L57" s="115">
        <v>9628.36</v>
      </c>
      <c r="M57" s="115">
        <v>3973.32</v>
      </c>
      <c r="N57" s="115">
        <v>36509.74</v>
      </c>
      <c r="O57" s="162"/>
    </row>
    <row r="60" spans="1:15" ht="18.75" x14ac:dyDescent="0.3">
      <c r="A60" s="103" t="s">
        <v>97</v>
      </c>
    </row>
    <row r="61" spans="1:15" x14ac:dyDescent="0.25">
      <c r="A61" s="299" t="s">
        <v>94</v>
      </c>
      <c r="B61" s="300" t="s">
        <v>148</v>
      </c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</row>
    <row r="62" spans="1:15" ht="30" x14ac:dyDescent="0.25">
      <c r="A62" s="299"/>
      <c r="B62" s="118" t="s">
        <v>193</v>
      </c>
      <c r="C62" s="118" t="s">
        <v>189</v>
      </c>
      <c r="D62" s="118" t="s">
        <v>192</v>
      </c>
      <c r="E62" s="118" t="s">
        <v>194</v>
      </c>
      <c r="F62" s="118" t="s">
        <v>196</v>
      </c>
      <c r="G62" s="118" t="s">
        <v>190</v>
      </c>
      <c r="H62" s="118" t="s">
        <v>198</v>
      </c>
      <c r="I62" s="118" t="s">
        <v>191</v>
      </c>
      <c r="J62" s="118" t="s">
        <v>199</v>
      </c>
      <c r="K62" s="118" t="s">
        <v>197</v>
      </c>
      <c r="L62" s="118" t="s">
        <v>159</v>
      </c>
      <c r="M62" s="259" t="s">
        <v>298</v>
      </c>
      <c r="N62" s="121" t="s">
        <v>160</v>
      </c>
    </row>
    <row r="63" spans="1:15" x14ac:dyDescent="0.25">
      <c r="A63" s="106" t="s">
        <v>49</v>
      </c>
      <c r="B63" s="108">
        <v>585.19000000000005</v>
      </c>
      <c r="C63" s="108">
        <v>83.210000000000008</v>
      </c>
      <c r="D63" s="108">
        <v>66.44</v>
      </c>
      <c r="E63" s="108">
        <v>54.66</v>
      </c>
      <c r="F63" s="108">
        <v>44.13</v>
      </c>
      <c r="G63" s="108">
        <v>28.92</v>
      </c>
      <c r="H63" s="108">
        <v>4.34</v>
      </c>
      <c r="I63" s="108">
        <v>18.52</v>
      </c>
      <c r="J63" s="108"/>
      <c r="K63" s="108">
        <v>4.46</v>
      </c>
      <c r="L63" s="108">
        <v>112.76</v>
      </c>
      <c r="M63" s="108">
        <v>12.78</v>
      </c>
      <c r="N63" s="108">
        <v>1015.4000000000001</v>
      </c>
      <c r="O63" s="162"/>
    </row>
    <row r="64" spans="1:15" x14ac:dyDescent="0.25">
      <c r="A64" s="13" t="s">
        <v>11</v>
      </c>
      <c r="B64" s="14">
        <v>1.43</v>
      </c>
      <c r="C64" s="14">
        <v>2.76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>
        <v>4.1899999999999995</v>
      </c>
      <c r="O64" s="162"/>
    </row>
    <row r="65" spans="1:18" ht="15" customHeight="1" x14ac:dyDescent="0.25">
      <c r="A65" s="13" t="s">
        <v>12</v>
      </c>
      <c r="B65" s="14"/>
      <c r="C65" s="14">
        <v>1.97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>
        <v>1.97</v>
      </c>
      <c r="O65" s="162"/>
      <c r="P65" s="311" t="s">
        <v>204</v>
      </c>
      <c r="Q65" s="311"/>
      <c r="R65" s="311"/>
    </row>
    <row r="66" spans="1:18" x14ac:dyDescent="0.25">
      <c r="A66" s="13" t="s">
        <v>13</v>
      </c>
      <c r="B66" s="14">
        <v>138.77000000000001</v>
      </c>
      <c r="C66" s="14">
        <v>49.14</v>
      </c>
      <c r="D66" s="14">
        <v>26.43</v>
      </c>
      <c r="E66" s="14">
        <v>38.33</v>
      </c>
      <c r="F66" s="14">
        <v>21.6</v>
      </c>
      <c r="G66" s="14">
        <v>28.92</v>
      </c>
      <c r="H66" s="14"/>
      <c r="I66" s="14">
        <v>2.69</v>
      </c>
      <c r="J66" s="14"/>
      <c r="K66" s="14"/>
      <c r="L66" s="14">
        <v>7.1800000000000006</v>
      </c>
      <c r="M66" s="14"/>
      <c r="N66" s="14">
        <v>313.06</v>
      </c>
      <c r="O66" s="162"/>
      <c r="P66" s="118" t="s">
        <v>193</v>
      </c>
      <c r="Q66" s="14">
        <v>6008.38</v>
      </c>
      <c r="R66" s="26">
        <f t="shared" ref="R66:R78" si="3">Q66/$Q$78</f>
        <v>0.51225742206216618</v>
      </c>
    </row>
    <row r="67" spans="1:18" x14ac:dyDescent="0.25">
      <c r="A67" s="13" t="s">
        <v>14</v>
      </c>
      <c r="B67" s="14">
        <v>284.20999999999998</v>
      </c>
      <c r="C67" s="14">
        <v>3.94</v>
      </c>
      <c r="D67" s="14">
        <v>16.73</v>
      </c>
      <c r="E67" s="14"/>
      <c r="F67" s="14">
        <v>16.75</v>
      </c>
      <c r="G67" s="14"/>
      <c r="H67" s="14">
        <v>4.34</v>
      </c>
      <c r="I67" s="14">
        <v>0.91999999999999993</v>
      </c>
      <c r="J67" s="14"/>
      <c r="K67" s="14"/>
      <c r="L67" s="14">
        <v>36.979999999999997</v>
      </c>
      <c r="M67" s="14">
        <v>9.35</v>
      </c>
      <c r="N67" s="14">
        <v>373.22000000000008</v>
      </c>
      <c r="O67" s="162"/>
      <c r="P67" s="118" t="s">
        <v>189</v>
      </c>
      <c r="Q67" s="14">
        <v>950.4</v>
      </c>
      <c r="R67" s="26">
        <f t="shared" si="3"/>
        <v>8.102840598096038E-2</v>
      </c>
    </row>
    <row r="68" spans="1:18" x14ac:dyDescent="0.25">
      <c r="A68" s="13" t="s">
        <v>16</v>
      </c>
      <c r="B68" s="14">
        <v>91.72</v>
      </c>
      <c r="C68" s="14">
        <v>13.25</v>
      </c>
      <c r="D68" s="14">
        <v>5.62</v>
      </c>
      <c r="E68" s="14"/>
      <c r="F68" s="14">
        <v>2.62</v>
      </c>
      <c r="G68" s="14"/>
      <c r="H68" s="14"/>
      <c r="I68" s="14">
        <v>10.48</v>
      </c>
      <c r="J68" s="14"/>
      <c r="K68" s="14"/>
      <c r="L68" s="14">
        <v>41.2</v>
      </c>
      <c r="M68" s="14">
        <v>3.43</v>
      </c>
      <c r="N68" s="14">
        <v>168.32</v>
      </c>
      <c r="O68" s="162"/>
      <c r="P68" s="118" t="s">
        <v>192</v>
      </c>
      <c r="Q68" s="14">
        <v>496.23</v>
      </c>
      <c r="R68" s="135">
        <f t="shared" si="3"/>
        <v>4.2307161089995764E-2</v>
      </c>
    </row>
    <row r="69" spans="1:18" x14ac:dyDescent="0.25">
      <c r="A69" s="13" t="s">
        <v>17</v>
      </c>
      <c r="B69" s="14">
        <v>64.91</v>
      </c>
      <c r="C69" s="14"/>
      <c r="D69" s="14">
        <v>4.45</v>
      </c>
      <c r="E69" s="14"/>
      <c r="F69" s="14"/>
      <c r="G69" s="14"/>
      <c r="H69" s="14"/>
      <c r="I69" s="14"/>
      <c r="J69" s="14"/>
      <c r="K69" s="14"/>
      <c r="L69" s="14">
        <v>0.22</v>
      </c>
      <c r="M69" s="14"/>
      <c r="N69" s="14">
        <v>69.58</v>
      </c>
      <c r="O69" s="162"/>
      <c r="P69" s="118" t="s">
        <v>194</v>
      </c>
      <c r="Q69" s="14">
        <v>158.69</v>
      </c>
      <c r="R69" s="135">
        <f t="shared" si="3"/>
        <v>1.3529458906900887E-2</v>
      </c>
    </row>
    <row r="70" spans="1:18" x14ac:dyDescent="0.25">
      <c r="A70" s="13" t="s">
        <v>18</v>
      </c>
      <c r="B70" s="14">
        <v>4.16</v>
      </c>
      <c r="C70" s="14">
        <v>12.15</v>
      </c>
      <c r="D70" s="14">
        <v>13.21</v>
      </c>
      <c r="E70" s="14">
        <v>16.329999999999998</v>
      </c>
      <c r="F70" s="14">
        <v>3.16</v>
      </c>
      <c r="G70" s="14"/>
      <c r="H70" s="14"/>
      <c r="I70" s="14">
        <v>4.43</v>
      </c>
      <c r="J70" s="14"/>
      <c r="K70" s="14">
        <v>4.46</v>
      </c>
      <c r="L70" s="14">
        <v>27.18</v>
      </c>
      <c r="M70" s="14"/>
      <c r="N70" s="14">
        <v>85.06</v>
      </c>
      <c r="O70" s="162"/>
      <c r="P70" s="118" t="s">
        <v>196</v>
      </c>
      <c r="Q70" s="14">
        <v>134.63</v>
      </c>
      <c r="R70" s="135">
        <f t="shared" si="3"/>
        <v>1.1478171609024302E-2</v>
      </c>
    </row>
    <row r="71" spans="1:18" x14ac:dyDescent="0.25">
      <c r="A71" s="106" t="s">
        <v>50</v>
      </c>
      <c r="B71" s="108">
        <f>SUM(B72:B74)</f>
        <v>208.70999999999998</v>
      </c>
      <c r="C71" s="108">
        <f t="shared" ref="C71:L71" si="4">SUM(C72:C74)</f>
        <v>4.49</v>
      </c>
      <c r="D71" s="108">
        <f t="shared" si="4"/>
        <v>0</v>
      </c>
      <c r="E71" s="108">
        <f t="shared" si="4"/>
        <v>15.17</v>
      </c>
      <c r="F71" s="108">
        <f t="shared" si="4"/>
        <v>0</v>
      </c>
      <c r="G71" s="108">
        <f t="shared" si="4"/>
        <v>4.01</v>
      </c>
      <c r="H71" s="108">
        <f t="shared" si="4"/>
        <v>2.76</v>
      </c>
      <c r="I71" s="108">
        <f t="shared" si="4"/>
        <v>0</v>
      </c>
      <c r="J71" s="108">
        <f t="shared" si="4"/>
        <v>0.45</v>
      </c>
      <c r="K71" s="108">
        <f t="shared" si="4"/>
        <v>0</v>
      </c>
      <c r="L71" s="108">
        <f t="shared" si="4"/>
        <v>159.41</v>
      </c>
      <c r="M71" s="108">
        <v>1.17</v>
      </c>
      <c r="N71" s="108">
        <v>396.16999999999996</v>
      </c>
      <c r="O71" s="162"/>
      <c r="P71" s="118" t="s">
        <v>190</v>
      </c>
      <c r="Q71" s="14">
        <v>57.79</v>
      </c>
      <c r="R71" s="135">
        <f t="shared" si="3"/>
        <v>4.927011344317867E-3</v>
      </c>
    </row>
    <row r="72" spans="1:18" x14ac:dyDescent="0.25">
      <c r="A72" s="13" t="s">
        <v>19</v>
      </c>
      <c r="B72" s="14">
        <v>70.919999999999987</v>
      </c>
      <c r="C72" s="14">
        <v>0.28999999999999998</v>
      </c>
      <c r="D72" s="14"/>
      <c r="E72" s="14">
        <v>0.31</v>
      </c>
      <c r="F72" s="14"/>
      <c r="G72" s="14">
        <v>2.93</v>
      </c>
      <c r="H72" s="14"/>
      <c r="I72" s="14"/>
      <c r="J72" s="14"/>
      <c r="K72" s="14"/>
      <c r="L72" s="14">
        <v>25.93</v>
      </c>
      <c r="M72" s="14">
        <v>0.61</v>
      </c>
      <c r="N72" s="14">
        <v>100.99</v>
      </c>
      <c r="O72" s="162"/>
      <c r="P72" s="118" t="s">
        <v>198</v>
      </c>
      <c r="Q72" s="14">
        <v>76.460000000000008</v>
      </c>
      <c r="R72" s="135">
        <f t="shared" si="3"/>
        <v>6.5187625434598396E-3</v>
      </c>
    </row>
    <row r="73" spans="1:18" x14ac:dyDescent="0.25">
      <c r="A73" s="13" t="s">
        <v>20</v>
      </c>
      <c r="B73" s="14">
        <v>17.66</v>
      </c>
      <c r="C73" s="14">
        <v>1.19</v>
      </c>
      <c r="D73" s="14"/>
      <c r="E73" s="14"/>
      <c r="F73" s="14"/>
      <c r="G73" s="14"/>
      <c r="H73" s="14"/>
      <c r="I73" s="14"/>
      <c r="J73" s="14">
        <v>0.45</v>
      </c>
      <c r="K73" s="14"/>
      <c r="L73" s="14">
        <v>16.61</v>
      </c>
      <c r="M73" s="14"/>
      <c r="N73" s="14">
        <v>35.909999999999997</v>
      </c>
      <c r="O73" s="162"/>
      <c r="P73" s="118" t="s">
        <v>191</v>
      </c>
      <c r="Q73" s="14">
        <v>52.06</v>
      </c>
      <c r="R73" s="135">
        <f t="shared" si="3"/>
        <v>4.4384878107836681E-3</v>
      </c>
    </row>
    <row r="74" spans="1:18" x14ac:dyDescent="0.25">
      <c r="A74" s="13" t="s">
        <v>21</v>
      </c>
      <c r="B74" s="14">
        <v>120.13000000000001</v>
      </c>
      <c r="C74" s="14">
        <v>3.01</v>
      </c>
      <c r="D74" s="14"/>
      <c r="E74" s="14">
        <v>14.86</v>
      </c>
      <c r="F74" s="14"/>
      <c r="G74" s="14">
        <v>1.08</v>
      </c>
      <c r="H74" s="14">
        <v>2.76</v>
      </c>
      <c r="I74" s="14"/>
      <c r="J74" s="14"/>
      <c r="K74" s="14"/>
      <c r="L74" s="14">
        <v>116.87</v>
      </c>
      <c r="M74" s="14">
        <v>0.56000000000000005</v>
      </c>
      <c r="N74" s="14">
        <v>259.27</v>
      </c>
      <c r="O74" s="162"/>
      <c r="P74" s="118" t="s">
        <v>199</v>
      </c>
      <c r="Q74" s="14">
        <v>14.529999999999998</v>
      </c>
      <c r="R74" s="135">
        <f t="shared" si="3"/>
        <v>1.238786551876425E-3</v>
      </c>
    </row>
    <row r="75" spans="1:18" x14ac:dyDescent="0.25">
      <c r="A75" s="106" t="s">
        <v>60</v>
      </c>
      <c r="B75" s="108">
        <v>8.35</v>
      </c>
      <c r="C75" s="108">
        <v>1.45</v>
      </c>
      <c r="D75" s="108">
        <v>15.31</v>
      </c>
      <c r="E75" s="108"/>
      <c r="F75" s="108"/>
      <c r="G75" s="108"/>
      <c r="H75" s="108"/>
      <c r="I75" s="108"/>
      <c r="J75" s="108"/>
      <c r="K75" s="108"/>
      <c r="L75" s="108">
        <v>7.8599999999999994</v>
      </c>
      <c r="M75" s="108"/>
      <c r="N75" s="108">
        <v>32.97</v>
      </c>
      <c r="O75" s="162"/>
      <c r="P75" s="118" t="s">
        <v>197</v>
      </c>
      <c r="Q75" s="14">
        <v>10.5</v>
      </c>
      <c r="R75" s="135">
        <f t="shared" si="3"/>
        <v>8.9520019234015581E-4</v>
      </c>
    </row>
    <row r="76" spans="1:18" x14ac:dyDescent="0.25">
      <c r="A76" s="13" t="s">
        <v>22</v>
      </c>
      <c r="B76" s="14">
        <v>5.5</v>
      </c>
      <c r="C76" s="14">
        <v>1.45</v>
      </c>
      <c r="D76" s="14"/>
      <c r="E76" s="14"/>
      <c r="F76" s="14"/>
      <c r="G76" s="14"/>
      <c r="H76" s="14"/>
      <c r="I76" s="14"/>
      <c r="J76" s="14"/>
      <c r="K76" s="14"/>
      <c r="L76" s="14">
        <v>6.5299999999999994</v>
      </c>
      <c r="M76" s="14"/>
      <c r="N76" s="14">
        <v>13.479999999999999</v>
      </c>
      <c r="O76" s="162"/>
      <c r="P76" s="118" t="s">
        <v>159</v>
      </c>
      <c r="Q76" s="14">
        <v>2586.52</v>
      </c>
      <c r="R76" s="26">
        <f t="shared" si="3"/>
        <v>0.22051935252301522</v>
      </c>
    </row>
    <row r="77" spans="1:18" ht="15" customHeight="1" x14ac:dyDescent="0.25">
      <c r="A77" s="13" t="s">
        <v>23</v>
      </c>
      <c r="B77" s="14">
        <v>0.05</v>
      </c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>
        <v>0.05</v>
      </c>
      <c r="O77" s="162"/>
      <c r="P77" s="259" t="s">
        <v>298</v>
      </c>
      <c r="Q77" s="14">
        <v>1183.04</v>
      </c>
      <c r="R77" s="26">
        <f t="shared" si="3"/>
        <v>0.10086263195677123</v>
      </c>
    </row>
    <row r="78" spans="1:18" x14ac:dyDescent="0.25">
      <c r="A78" s="13" t="s">
        <v>24</v>
      </c>
      <c r="B78" s="14">
        <v>2.8</v>
      </c>
      <c r="C78" s="14"/>
      <c r="D78" s="14">
        <v>15.31</v>
      </c>
      <c r="E78" s="14"/>
      <c r="F78" s="14"/>
      <c r="G78" s="14"/>
      <c r="H78" s="14"/>
      <c r="I78" s="14"/>
      <c r="J78" s="14"/>
      <c r="K78" s="14"/>
      <c r="L78" s="14">
        <v>1.33</v>
      </c>
      <c r="M78" s="14"/>
      <c r="N78" s="14">
        <v>19.439999999999998</v>
      </c>
      <c r="O78" s="162"/>
      <c r="P78" s="118" t="s">
        <v>201</v>
      </c>
      <c r="Q78" s="143">
        <v>11729.219999999998</v>
      </c>
      <c r="R78" s="142">
        <f t="shared" si="3"/>
        <v>1</v>
      </c>
    </row>
    <row r="79" spans="1:18" x14ac:dyDescent="0.25">
      <c r="A79" s="106" t="s">
        <v>53</v>
      </c>
      <c r="B79" s="108">
        <v>333.92999999999995</v>
      </c>
      <c r="C79" s="108">
        <v>72.259999999999991</v>
      </c>
      <c r="D79" s="108">
        <v>36.130000000000003</v>
      </c>
      <c r="E79" s="108"/>
      <c r="F79" s="108"/>
      <c r="G79" s="108">
        <v>8.65</v>
      </c>
      <c r="H79" s="108">
        <v>28.63</v>
      </c>
      <c r="I79" s="108"/>
      <c r="J79" s="108">
        <v>4.1399999999999997</v>
      </c>
      <c r="K79" s="108"/>
      <c r="L79" s="108"/>
      <c r="M79" s="108">
        <v>3.13</v>
      </c>
      <c r="N79" s="108">
        <v>486.87</v>
      </c>
      <c r="O79" s="162"/>
    </row>
    <row r="80" spans="1:18" x14ac:dyDescent="0.25">
      <c r="A80" s="13" t="s">
        <v>34</v>
      </c>
      <c r="B80" s="14">
        <v>11.18</v>
      </c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>
        <v>11.180000000000001</v>
      </c>
      <c r="O80" s="162"/>
    </row>
    <row r="81" spans="1:15" x14ac:dyDescent="0.25">
      <c r="A81" s="13" t="s">
        <v>35</v>
      </c>
      <c r="B81" s="14">
        <v>2.94</v>
      </c>
      <c r="C81" s="14"/>
      <c r="D81" s="14"/>
      <c r="E81" s="14"/>
      <c r="F81" s="14"/>
      <c r="G81" s="14"/>
      <c r="H81" s="14">
        <v>1.21</v>
      </c>
      <c r="I81" s="14"/>
      <c r="J81" s="14"/>
      <c r="K81" s="14"/>
      <c r="L81" s="14"/>
      <c r="M81" s="14"/>
      <c r="N81" s="14">
        <v>4.1500000000000004</v>
      </c>
      <c r="O81" s="162"/>
    </row>
    <row r="82" spans="1:15" x14ac:dyDescent="0.25">
      <c r="A82" s="13" t="s">
        <v>36</v>
      </c>
      <c r="B82" s="14">
        <v>16.470000000000002</v>
      </c>
      <c r="C82" s="14"/>
      <c r="D82" s="14"/>
      <c r="E82" s="14"/>
      <c r="F82" s="14"/>
      <c r="G82" s="14"/>
      <c r="H82" s="14">
        <v>1.23</v>
      </c>
      <c r="I82" s="14"/>
      <c r="J82" s="14"/>
      <c r="K82" s="14"/>
      <c r="L82" s="14"/>
      <c r="M82" s="14"/>
      <c r="N82" s="14">
        <v>17.7</v>
      </c>
      <c r="O82" s="162"/>
    </row>
    <row r="83" spans="1:15" x14ac:dyDescent="0.25">
      <c r="A83" s="13" t="s">
        <v>37</v>
      </c>
      <c r="B83" s="14">
        <v>1.64</v>
      </c>
      <c r="C83" s="14">
        <v>3.81</v>
      </c>
      <c r="D83" s="14"/>
      <c r="E83" s="14"/>
      <c r="F83" s="14"/>
      <c r="G83" s="14"/>
      <c r="H83" s="14"/>
      <c r="I83" s="14"/>
      <c r="J83" s="14"/>
      <c r="K83" s="14"/>
      <c r="L83" s="14"/>
      <c r="M83" s="14">
        <v>0.08</v>
      </c>
      <c r="N83" s="14">
        <v>5.53</v>
      </c>
      <c r="O83" s="162"/>
    </row>
    <row r="84" spans="1:15" x14ac:dyDescent="0.25">
      <c r="A84" s="13" t="s">
        <v>38</v>
      </c>
      <c r="B84" s="14">
        <v>27.45</v>
      </c>
      <c r="C84" s="14">
        <v>20.509999999999998</v>
      </c>
      <c r="D84" s="14"/>
      <c r="E84" s="14"/>
      <c r="F84" s="14"/>
      <c r="G84" s="14">
        <v>5</v>
      </c>
      <c r="H84" s="14">
        <v>5.25</v>
      </c>
      <c r="I84" s="14"/>
      <c r="J84" s="14"/>
      <c r="K84" s="14"/>
      <c r="L84" s="14"/>
      <c r="M84" s="14"/>
      <c r="N84" s="14">
        <v>58.21</v>
      </c>
      <c r="O84" s="162"/>
    </row>
    <row r="85" spans="1:15" x14ac:dyDescent="0.25">
      <c r="A85" s="13" t="s">
        <v>39</v>
      </c>
      <c r="B85" s="14">
        <v>4.17</v>
      </c>
      <c r="C85" s="14">
        <v>0.52</v>
      </c>
      <c r="D85" s="14"/>
      <c r="E85" s="14"/>
      <c r="F85" s="14"/>
      <c r="G85" s="14"/>
      <c r="H85" s="14">
        <v>9.9</v>
      </c>
      <c r="I85" s="14"/>
      <c r="J85" s="14">
        <v>1.45</v>
      </c>
      <c r="K85" s="14"/>
      <c r="L85" s="14"/>
      <c r="M85" s="14"/>
      <c r="N85" s="14">
        <v>16.04</v>
      </c>
      <c r="O85" s="162"/>
    </row>
    <row r="86" spans="1:15" x14ac:dyDescent="0.25">
      <c r="A86" s="13" t="s">
        <v>40</v>
      </c>
      <c r="B86" s="14">
        <v>2.8600000000000003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>
        <v>2.8600000000000003</v>
      </c>
      <c r="O86" s="162"/>
    </row>
    <row r="87" spans="1:15" x14ac:dyDescent="0.25">
      <c r="A87" s="13" t="s">
        <v>41</v>
      </c>
      <c r="B87" s="14">
        <v>160.78999999999996</v>
      </c>
      <c r="C87" s="14">
        <v>42.51</v>
      </c>
      <c r="D87" s="14">
        <v>4.2</v>
      </c>
      <c r="E87" s="14"/>
      <c r="F87" s="14"/>
      <c r="G87" s="14"/>
      <c r="H87" s="14">
        <v>5.42</v>
      </c>
      <c r="I87" s="14"/>
      <c r="J87" s="14">
        <v>2.69</v>
      </c>
      <c r="K87" s="14"/>
      <c r="L87" s="14"/>
      <c r="M87" s="14"/>
      <c r="N87" s="14">
        <v>215.60999999999996</v>
      </c>
      <c r="O87" s="162"/>
    </row>
    <row r="88" spans="1:15" x14ac:dyDescent="0.25">
      <c r="A88" s="13" t="s">
        <v>42</v>
      </c>
      <c r="B88" s="14">
        <v>106.43</v>
      </c>
      <c r="C88" s="14">
        <v>4.91</v>
      </c>
      <c r="D88" s="14">
        <v>31.930000000000003</v>
      </c>
      <c r="E88" s="14"/>
      <c r="F88" s="14"/>
      <c r="G88" s="14">
        <v>3.65</v>
      </c>
      <c r="H88" s="14">
        <v>5.62</v>
      </c>
      <c r="I88" s="14"/>
      <c r="J88" s="14"/>
      <c r="K88" s="14"/>
      <c r="L88" s="14"/>
      <c r="M88" s="14">
        <v>3.05</v>
      </c>
      <c r="N88" s="14">
        <v>155.59</v>
      </c>
      <c r="O88" s="162"/>
    </row>
    <row r="89" spans="1:15" x14ac:dyDescent="0.25">
      <c r="A89" s="106" t="s">
        <v>52</v>
      </c>
      <c r="B89" s="108">
        <v>4349.1000000000004</v>
      </c>
      <c r="C89" s="108">
        <v>727.13</v>
      </c>
      <c r="D89" s="108">
        <v>331.53</v>
      </c>
      <c r="E89" s="108">
        <v>61.169999999999995</v>
      </c>
      <c r="F89" s="108">
        <v>15.81</v>
      </c>
      <c r="G89" s="108">
        <v>10.050000000000001</v>
      </c>
      <c r="H89" s="108">
        <v>0.4</v>
      </c>
      <c r="I89" s="108">
        <v>5.37</v>
      </c>
      <c r="J89" s="108">
        <v>1.59</v>
      </c>
      <c r="K89" s="108">
        <v>6.0399999999999991</v>
      </c>
      <c r="L89" s="108">
        <v>1881.2199999999998</v>
      </c>
      <c r="M89" s="108">
        <v>1163.03</v>
      </c>
      <c r="N89" s="108">
        <v>8552.4399999999987</v>
      </c>
      <c r="O89" s="162"/>
    </row>
    <row r="90" spans="1:15" x14ac:dyDescent="0.25">
      <c r="A90" s="13" t="s">
        <v>29</v>
      </c>
      <c r="B90" s="14">
        <v>995.79</v>
      </c>
      <c r="C90" s="14">
        <v>267.47000000000003</v>
      </c>
      <c r="D90" s="14">
        <v>139.36000000000001</v>
      </c>
      <c r="E90" s="14">
        <v>10.09</v>
      </c>
      <c r="F90" s="14">
        <v>15.81</v>
      </c>
      <c r="G90" s="14"/>
      <c r="H90" s="14"/>
      <c r="I90" s="14"/>
      <c r="J90" s="14"/>
      <c r="K90" s="14">
        <v>2.0299999999999998</v>
      </c>
      <c r="L90" s="14">
        <v>300.64999999999998</v>
      </c>
      <c r="M90" s="14">
        <v>266.45999999999998</v>
      </c>
      <c r="N90" s="14">
        <v>1997.6599999999999</v>
      </c>
      <c r="O90" s="162"/>
    </row>
    <row r="91" spans="1:15" x14ac:dyDescent="0.25">
      <c r="A91" s="13" t="s">
        <v>30</v>
      </c>
      <c r="B91" s="14">
        <v>1837.0499999999997</v>
      </c>
      <c r="C91" s="14">
        <v>190.92</v>
      </c>
      <c r="D91" s="14">
        <v>16.829999999999998</v>
      </c>
      <c r="E91" s="14">
        <v>25.729999999999997</v>
      </c>
      <c r="F91" s="14"/>
      <c r="G91" s="14">
        <v>10.050000000000001</v>
      </c>
      <c r="H91" s="14"/>
      <c r="I91" s="14">
        <v>1.92</v>
      </c>
      <c r="J91" s="14">
        <v>1.59</v>
      </c>
      <c r="K91" s="14">
        <v>4.01</v>
      </c>
      <c r="L91" s="14">
        <v>716.43999999999983</v>
      </c>
      <c r="M91" s="14">
        <v>521.54999999999995</v>
      </c>
      <c r="N91" s="14">
        <v>3326.0899999999997</v>
      </c>
      <c r="O91" s="162"/>
    </row>
    <row r="92" spans="1:15" x14ac:dyDescent="0.25">
      <c r="A92" s="13" t="s">
        <v>31</v>
      </c>
      <c r="B92" s="14">
        <v>381.69</v>
      </c>
      <c r="C92" s="14">
        <v>63.280000000000008</v>
      </c>
      <c r="D92" s="14"/>
      <c r="E92" s="14"/>
      <c r="F92" s="14"/>
      <c r="G92" s="14"/>
      <c r="H92" s="14">
        <v>0.4</v>
      </c>
      <c r="I92" s="14">
        <v>3.45</v>
      </c>
      <c r="J92" s="14"/>
      <c r="K92" s="14"/>
      <c r="L92" s="14">
        <v>121.36000000000001</v>
      </c>
      <c r="M92" s="14">
        <v>97.93</v>
      </c>
      <c r="N92" s="14">
        <v>668.11</v>
      </c>
      <c r="O92" s="162"/>
    </row>
    <row r="93" spans="1:15" x14ac:dyDescent="0.25">
      <c r="A93" s="13" t="s">
        <v>32</v>
      </c>
      <c r="B93" s="14">
        <v>32.29</v>
      </c>
      <c r="C93" s="14"/>
      <c r="D93" s="14"/>
      <c r="E93" s="14">
        <v>4.07</v>
      </c>
      <c r="F93" s="14"/>
      <c r="G93" s="14"/>
      <c r="H93" s="14"/>
      <c r="I93" s="14"/>
      <c r="J93" s="14"/>
      <c r="K93" s="14"/>
      <c r="L93" s="14">
        <v>88.26</v>
      </c>
      <c r="M93" s="14">
        <v>6.35</v>
      </c>
      <c r="N93" s="14">
        <v>130.97</v>
      </c>
      <c r="O93" s="162"/>
    </row>
    <row r="94" spans="1:15" x14ac:dyDescent="0.25">
      <c r="A94" s="13" t="s">
        <v>33</v>
      </c>
      <c r="B94" s="14">
        <v>1102.2800000000002</v>
      </c>
      <c r="C94" s="14">
        <v>205.46</v>
      </c>
      <c r="D94" s="14">
        <v>175.34</v>
      </c>
      <c r="E94" s="14">
        <v>21.28</v>
      </c>
      <c r="F94" s="14"/>
      <c r="G94" s="14"/>
      <c r="H94" s="14"/>
      <c r="I94" s="14"/>
      <c r="J94" s="14"/>
      <c r="K94" s="14"/>
      <c r="L94" s="14">
        <v>654.50999999999988</v>
      </c>
      <c r="M94" s="14">
        <v>270.74</v>
      </c>
      <c r="N94" s="14">
        <v>2429.6099999999997</v>
      </c>
      <c r="O94" s="162"/>
    </row>
    <row r="95" spans="1:15" x14ac:dyDescent="0.25">
      <c r="A95" s="106" t="s">
        <v>51</v>
      </c>
      <c r="B95" s="108">
        <f>SUM(B96:B98)</f>
        <v>68.66</v>
      </c>
      <c r="C95" s="108">
        <f t="shared" ref="C95:L95" si="5">SUM(C96:C98)</f>
        <v>0</v>
      </c>
      <c r="D95" s="108">
        <f t="shared" si="5"/>
        <v>0</v>
      </c>
      <c r="E95" s="108">
        <f t="shared" si="5"/>
        <v>0</v>
      </c>
      <c r="F95" s="108">
        <f t="shared" si="5"/>
        <v>0</v>
      </c>
      <c r="G95" s="108">
        <f t="shared" si="5"/>
        <v>3.01</v>
      </c>
      <c r="H95" s="108">
        <f t="shared" si="5"/>
        <v>0</v>
      </c>
      <c r="I95" s="108">
        <f t="shared" si="5"/>
        <v>0</v>
      </c>
      <c r="J95" s="108">
        <f t="shared" si="5"/>
        <v>0</v>
      </c>
      <c r="K95" s="108">
        <f t="shared" si="5"/>
        <v>0</v>
      </c>
      <c r="L95" s="108">
        <f t="shared" si="5"/>
        <v>251.67999999999998</v>
      </c>
      <c r="M95" s="108"/>
      <c r="N95" s="108">
        <v>323.34999999999997</v>
      </c>
      <c r="O95" s="162"/>
    </row>
    <row r="96" spans="1:15" x14ac:dyDescent="0.25">
      <c r="A96" s="13" t="s">
        <v>26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>
        <v>1.07</v>
      </c>
      <c r="M96" s="14"/>
      <c r="N96" s="14">
        <v>1.07</v>
      </c>
      <c r="O96" s="162"/>
    </row>
    <row r="97" spans="1:15" x14ac:dyDescent="0.25">
      <c r="A97" s="13" t="s">
        <v>27</v>
      </c>
      <c r="B97" s="14">
        <v>60.419999999999995</v>
      </c>
      <c r="C97" s="14"/>
      <c r="D97" s="14"/>
      <c r="E97" s="14"/>
      <c r="F97" s="14"/>
      <c r="G97" s="14">
        <v>3.01</v>
      </c>
      <c r="H97" s="14"/>
      <c r="I97" s="14"/>
      <c r="J97" s="14"/>
      <c r="K97" s="14"/>
      <c r="L97" s="14">
        <v>234.39</v>
      </c>
      <c r="M97" s="14"/>
      <c r="N97" s="14">
        <v>297.82</v>
      </c>
      <c r="O97" s="162"/>
    </row>
    <row r="98" spans="1:15" x14ac:dyDescent="0.25">
      <c r="A98" s="13" t="s">
        <v>28</v>
      </c>
      <c r="B98" s="14">
        <v>8.24</v>
      </c>
      <c r="C98" s="14"/>
      <c r="D98" s="14"/>
      <c r="E98" s="14"/>
      <c r="F98" s="14"/>
      <c r="G98" s="14"/>
      <c r="H98" s="14"/>
      <c r="I98" s="14"/>
      <c r="J98" s="14"/>
      <c r="K98" s="14"/>
      <c r="L98" s="14">
        <v>16.219999999999995</v>
      </c>
      <c r="M98" s="14"/>
      <c r="N98" s="14">
        <v>24.459999999999994</v>
      </c>
      <c r="O98" s="162"/>
    </row>
    <row r="99" spans="1:15" x14ac:dyDescent="0.25">
      <c r="A99" s="106" t="s">
        <v>54</v>
      </c>
      <c r="B99" s="108">
        <v>177.5</v>
      </c>
      <c r="C99" s="108">
        <v>46.43</v>
      </c>
      <c r="D99" s="108">
        <v>45.32</v>
      </c>
      <c r="E99" s="108">
        <v>15.990000000000002</v>
      </c>
      <c r="F99" s="108">
        <v>74.69</v>
      </c>
      <c r="G99" s="108"/>
      <c r="H99" s="108">
        <v>35.5</v>
      </c>
      <c r="I99" s="108"/>
      <c r="J99" s="108">
        <v>7.93</v>
      </c>
      <c r="K99" s="108"/>
      <c r="L99" s="108">
        <v>19.3</v>
      </c>
      <c r="M99" s="108">
        <v>1.68</v>
      </c>
      <c r="N99" s="108">
        <v>424.34000000000003</v>
      </c>
      <c r="O99" s="162"/>
    </row>
    <row r="100" spans="1:15" x14ac:dyDescent="0.25">
      <c r="A100" s="13" t="s">
        <v>43</v>
      </c>
      <c r="B100" s="14">
        <v>85.500000000000014</v>
      </c>
      <c r="C100" s="14">
        <v>24.119999999999997</v>
      </c>
      <c r="D100" s="14">
        <v>2.96</v>
      </c>
      <c r="E100" s="14">
        <v>9.89</v>
      </c>
      <c r="F100" s="14"/>
      <c r="G100" s="14"/>
      <c r="H100" s="14">
        <v>3.4</v>
      </c>
      <c r="I100" s="14"/>
      <c r="J100" s="14">
        <v>7.93</v>
      </c>
      <c r="K100" s="14"/>
      <c r="L100" s="14">
        <v>5.03</v>
      </c>
      <c r="M100" s="14"/>
      <c r="N100" s="14">
        <v>138.83000000000001</v>
      </c>
      <c r="O100" s="162"/>
    </row>
    <row r="101" spans="1:15" x14ac:dyDescent="0.25">
      <c r="A101" s="13" t="s">
        <v>44</v>
      </c>
      <c r="B101" s="14">
        <v>92</v>
      </c>
      <c r="C101" s="14">
        <v>22.310000000000002</v>
      </c>
      <c r="D101" s="14">
        <v>42.36</v>
      </c>
      <c r="E101" s="14">
        <v>6.1000000000000005</v>
      </c>
      <c r="F101" s="14">
        <v>74.69</v>
      </c>
      <c r="G101" s="14"/>
      <c r="H101" s="14">
        <v>32.1</v>
      </c>
      <c r="I101" s="14"/>
      <c r="J101" s="14"/>
      <c r="K101" s="14"/>
      <c r="L101" s="14">
        <v>14.27</v>
      </c>
      <c r="M101" s="14">
        <v>1.68</v>
      </c>
      <c r="N101" s="14">
        <v>285.51</v>
      </c>
      <c r="O101" s="162"/>
    </row>
    <row r="102" spans="1:15" x14ac:dyDescent="0.25">
      <c r="A102" s="106" t="s">
        <v>55</v>
      </c>
      <c r="B102" s="108">
        <v>17.689999999999998</v>
      </c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>
        <v>17.689999999999998</v>
      </c>
      <c r="O102" s="162"/>
    </row>
    <row r="103" spans="1:15" x14ac:dyDescent="0.25">
      <c r="A103" s="13" t="s">
        <v>45</v>
      </c>
      <c r="B103" s="14">
        <v>17.689999999999998</v>
      </c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>
        <v>17.689999999999998</v>
      </c>
      <c r="O103" s="162"/>
    </row>
    <row r="104" spans="1:15" x14ac:dyDescent="0.25">
      <c r="A104" s="106" t="s">
        <v>80</v>
      </c>
      <c r="B104" s="108">
        <v>17</v>
      </c>
      <c r="C104" s="108"/>
      <c r="D104" s="108"/>
      <c r="E104" s="108"/>
      <c r="F104" s="108"/>
      <c r="G104" s="108">
        <v>1.35</v>
      </c>
      <c r="H104" s="108">
        <v>4.83</v>
      </c>
      <c r="I104" s="108">
        <v>4.9800000000000004</v>
      </c>
      <c r="J104" s="108"/>
      <c r="K104" s="108"/>
      <c r="L104" s="108">
        <v>93.84</v>
      </c>
      <c r="M104" s="108">
        <v>0.32</v>
      </c>
      <c r="N104" s="108">
        <v>122.32000000000001</v>
      </c>
      <c r="O104" s="162"/>
    </row>
    <row r="105" spans="1:15" x14ac:dyDescent="0.25">
      <c r="A105" s="13" t="s">
        <v>81</v>
      </c>
      <c r="B105" s="14">
        <v>17</v>
      </c>
      <c r="C105" s="14"/>
      <c r="D105" s="14"/>
      <c r="E105" s="14"/>
      <c r="F105" s="14"/>
      <c r="G105" s="14">
        <v>1.35</v>
      </c>
      <c r="H105" s="14">
        <v>4.83</v>
      </c>
      <c r="I105" s="14">
        <v>4.9800000000000004</v>
      </c>
      <c r="J105" s="14"/>
      <c r="K105" s="14"/>
      <c r="L105" s="14">
        <v>93.84</v>
      </c>
      <c r="M105" s="14">
        <v>0.32</v>
      </c>
      <c r="N105" s="14">
        <v>122.32000000000001</v>
      </c>
      <c r="O105" s="162"/>
    </row>
    <row r="106" spans="1:15" x14ac:dyDescent="0.25">
      <c r="A106" s="106" t="s">
        <v>56</v>
      </c>
      <c r="B106" s="108">
        <v>223.44</v>
      </c>
      <c r="C106" s="108">
        <v>15.43</v>
      </c>
      <c r="D106" s="108">
        <v>1.5</v>
      </c>
      <c r="E106" s="108">
        <v>11.7</v>
      </c>
      <c r="F106" s="108"/>
      <c r="G106" s="108">
        <v>0.47</v>
      </c>
      <c r="H106" s="108"/>
      <c r="I106" s="108">
        <v>23.19</v>
      </c>
      <c r="J106" s="108"/>
      <c r="K106" s="108"/>
      <c r="L106" s="108">
        <v>27.98</v>
      </c>
      <c r="M106" s="108">
        <v>0.54</v>
      </c>
      <c r="N106" s="108">
        <v>304.25000000000006</v>
      </c>
      <c r="O106" s="162"/>
    </row>
    <row r="107" spans="1:15" x14ac:dyDescent="0.25">
      <c r="A107" s="13" t="s">
        <v>46</v>
      </c>
      <c r="B107" s="14">
        <v>223.44</v>
      </c>
      <c r="C107" s="14">
        <v>15.43</v>
      </c>
      <c r="D107" s="14">
        <v>1.5</v>
      </c>
      <c r="E107" s="14">
        <v>11.7</v>
      </c>
      <c r="F107" s="14"/>
      <c r="G107" s="14">
        <v>0.47</v>
      </c>
      <c r="H107" s="14"/>
      <c r="I107" s="14">
        <v>23.19</v>
      </c>
      <c r="J107" s="14"/>
      <c r="K107" s="14"/>
      <c r="L107" s="14">
        <v>27.98</v>
      </c>
      <c r="M107" s="14">
        <v>0.54</v>
      </c>
      <c r="N107" s="14">
        <v>304.25000000000006</v>
      </c>
      <c r="O107" s="162"/>
    </row>
    <row r="108" spans="1:15" x14ac:dyDescent="0.25">
      <c r="A108" s="106" t="s">
        <v>57</v>
      </c>
      <c r="B108" s="108">
        <v>18.809999999999999</v>
      </c>
      <c r="C108" s="108"/>
      <c r="D108" s="108"/>
      <c r="E108" s="108"/>
      <c r="F108" s="108"/>
      <c r="G108" s="108">
        <v>1.33</v>
      </c>
      <c r="H108" s="108"/>
      <c r="I108" s="108"/>
      <c r="J108" s="108">
        <v>0.42</v>
      </c>
      <c r="K108" s="108"/>
      <c r="L108" s="108">
        <v>32.47</v>
      </c>
      <c r="M108" s="108">
        <v>0.39</v>
      </c>
      <c r="N108" s="108">
        <v>53.42</v>
      </c>
      <c r="O108" s="162"/>
    </row>
    <row r="109" spans="1:15" x14ac:dyDescent="0.25">
      <c r="A109" s="13" t="s">
        <v>47</v>
      </c>
      <c r="B109" s="14">
        <v>18.809999999999999</v>
      </c>
      <c r="C109" s="14"/>
      <c r="D109" s="14"/>
      <c r="E109" s="14"/>
      <c r="F109" s="14"/>
      <c r="G109" s="14">
        <v>1.33</v>
      </c>
      <c r="H109" s="14"/>
      <c r="I109" s="14"/>
      <c r="J109" s="14">
        <v>0.42</v>
      </c>
      <c r="K109" s="14"/>
      <c r="L109" s="14">
        <v>32.47</v>
      </c>
      <c r="M109" s="14">
        <v>0.39</v>
      </c>
      <c r="N109" s="14">
        <v>53.42</v>
      </c>
      <c r="O109" s="162"/>
    </row>
    <row r="110" spans="1:15" x14ac:dyDescent="0.25">
      <c r="A110" s="107" t="s">
        <v>59</v>
      </c>
      <c r="B110" s="110">
        <v>6008.38</v>
      </c>
      <c r="C110" s="110">
        <v>950.4</v>
      </c>
      <c r="D110" s="110">
        <v>496.23</v>
      </c>
      <c r="E110" s="110">
        <v>158.69</v>
      </c>
      <c r="F110" s="110">
        <v>134.63</v>
      </c>
      <c r="G110" s="110">
        <v>57.79</v>
      </c>
      <c r="H110" s="110">
        <v>76.460000000000008</v>
      </c>
      <c r="I110" s="110">
        <v>52.06</v>
      </c>
      <c r="J110" s="110">
        <v>14.529999999999998</v>
      </c>
      <c r="K110" s="110">
        <v>10.5</v>
      </c>
      <c r="L110" s="110">
        <v>2586.52</v>
      </c>
      <c r="M110" s="110">
        <v>1183.04</v>
      </c>
      <c r="N110" s="110">
        <v>11729.219999999998</v>
      </c>
      <c r="O110" s="162"/>
    </row>
    <row r="111" spans="1:15" x14ac:dyDescent="0.25">
      <c r="N111" s="162"/>
    </row>
  </sheetData>
  <mergeCells count="6">
    <mergeCell ref="P65:R65"/>
    <mergeCell ref="A4:A5"/>
    <mergeCell ref="B4:N4"/>
    <mergeCell ref="A61:A62"/>
    <mergeCell ref="B61:N61"/>
    <mergeCell ref="P9:R9"/>
  </mergeCells>
  <hyperlinks>
    <hyperlink ref="E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"/>
  <sheetViews>
    <sheetView topLeftCell="A7" workbookViewId="0">
      <pane xSplit="1" topLeftCell="H1" activePane="topRight" state="frozen"/>
      <selection activeCell="A52" sqref="A52"/>
      <selection pane="topRight" activeCell="E1" sqref="E1"/>
    </sheetView>
  </sheetViews>
  <sheetFormatPr baseColWidth="10" defaultRowHeight="15" x14ac:dyDescent="0.25"/>
  <cols>
    <col min="1" max="1" width="25.85546875" customWidth="1"/>
    <col min="6" max="6" width="15" customWidth="1"/>
    <col min="7" max="7" width="14.5703125" customWidth="1"/>
    <col min="8" max="8" width="12.85546875" customWidth="1"/>
    <col min="11" max="11" width="20" customWidth="1"/>
    <col min="12" max="13" width="14" customWidth="1"/>
    <col min="16" max="16" width="26.140625" customWidth="1"/>
  </cols>
  <sheetData>
    <row r="1" spans="1:18" x14ac:dyDescent="0.25">
      <c r="D1" s="2" t="s">
        <v>0</v>
      </c>
      <c r="E1" s="176" t="s">
        <v>1</v>
      </c>
      <c r="F1" s="2" t="s">
        <v>216</v>
      </c>
      <c r="G1" t="s">
        <v>219</v>
      </c>
    </row>
    <row r="2" spans="1:18" x14ac:dyDescent="0.25">
      <c r="D2" s="2"/>
      <c r="E2" s="176"/>
      <c r="F2" s="2"/>
      <c r="G2" t="s">
        <v>320</v>
      </c>
    </row>
    <row r="3" spans="1:18" ht="18.75" x14ac:dyDescent="0.3">
      <c r="A3" s="102" t="s">
        <v>9</v>
      </c>
    </row>
    <row r="4" spans="1:18" x14ac:dyDescent="0.25">
      <c r="A4" s="312" t="s">
        <v>94</v>
      </c>
      <c r="B4" s="312" t="s">
        <v>148</v>
      </c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</row>
    <row r="5" spans="1:18" ht="28.5" customHeight="1" x14ac:dyDescent="0.25">
      <c r="A5" s="312"/>
      <c r="B5" s="114" t="s">
        <v>164</v>
      </c>
      <c r="C5" s="114" t="s">
        <v>165</v>
      </c>
      <c r="D5" s="114" t="s">
        <v>166</v>
      </c>
      <c r="E5" s="113" t="s">
        <v>167</v>
      </c>
      <c r="F5" s="113" t="s">
        <v>168</v>
      </c>
      <c r="G5" s="114" t="s">
        <v>169</v>
      </c>
      <c r="H5" s="114" t="s">
        <v>170</v>
      </c>
      <c r="I5" s="114" t="s">
        <v>171</v>
      </c>
      <c r="J5" s="113" t="s">
        <v>172</v>
      </c>
      <c r="K5" s="113" t="s">
        <v>173</v>
      </c>
      <c r="L5" s="113" t="s">
        <v>159</v>
      </c>
      <c r="M5" s="113" t="s">
        <v>298</v>
      </c>
      <c r="N5" s="104" t="s">
        <v>160</v>
      </c>
    </row>
    <row r="6" spans="1:18" x14ac:dyDescent="0.25">
      <c r="A6" s="95" t="s">
        <v>49</v>
      </c>
      <c r="B6" s="96"/>
      <c r="C6" s="96"/>
      <c r="D6" s="96"/>
      <c r="E6" s="96"/>
      <c r="F6" s="96">
        <f>F7</f>
        <v>0.12</v>
      </c>
      <c r="G6" s="96"/>
      <c r="H6" s="96"/>
      <c r="I6" s="96"/>
      <c r="J6" s="96"/>
      <c r="K6" s="96"/>
      <c r="L6" s="96">
        <f>L7</f>
        <v>0</v>
      </c>
      <c r="M6" s="96"/>
      <c r="N6" s="96">
        <f>SUM(N7:N8)</f>
        <v>0.15</v>
      </c>
    </row>
    <row r="7" spans="1:18" x14ac:dyDescent="0.25">
      <c r="A7" s="13" t="s">
        <v>13</v>
      </c>
      <c r="B7" s="14"/>
      <c r="C7" s="14"/>
      <c r="D7" s="14"/>
      <c r="E7" s="14"/>
      <c r="F7" s="14">
        <v>0.12</v>
      </c>
      <c r="G7" s="14"/>
      <c r="H7" s="14"/>
      <c r="I7" s="14"/>
      <c r="J7" s="14"/>
      <c r="K7" s="14"/>
      <c r="L7" s="14"/>
      <c r="M7" s="14"/>
      <c r="N7" s="14">
        <v>0.12</v>
      </c>
    </row>
    <row r="8" spans="1:18" x14ac:dyDescent="0.25">
      <c r="A8" s="13" t="s">
        <v>17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>
        <v>0.03</v>
      </c>
      <c r="M8" s="14"/>
      <c r="N8" s="14">
        <v>0.03</v>
      </c>
    </row>
    <row r="9" spans="1:18" x14ac:dyDescent="0.25">
      <c r="A9" s="95" t="s">
        <v>50</v>
      </c>
      <c r="B9" s="96">
        <f>SUM(B10:B12)</f>
        <v>10.9</v>
      </c>
      <c r="C9" s="96">
        <f t="shared" ref="C9:N9" si="0">SUM(C10:C12)</f>
        <v>0.24</v>
      </c>
      <c r="D9" s="96">
        <f t="shared" si="0"/>
        <v>2.13</v>
      </c>
      <c r="E9" s="96"/>
      <c r="F9" s="96"/>
      <c r="G9" s="96"/>
      <c r="H9" s="96"/>
      <c r="I9" s="96"/>
      <c r="J9" s="96">
        <f t="shared" si="0"/>
        <v>1.45</v>
      </c>
      <c r="K9" s="96"/>
      <c r="L9" s="96">
        <f t="shared" si="0"/>
        <v>8.57</v>
      </c>
      <c r="M9" s="96"/>
      <c r="N9" s="96">
        <f t="shared" si="0"/>
        <v>23.290000000000003</v>
      </c>
    </row>
    <row r="10" spans="1:18" x14ac:dyDescent="0.25">
      <c r="A10" s="13" t="s">
        <v>19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>
        <v>1.92</v>
      </c>
      <c r="M10" s="14"/>
      <c r="N10" s="14">
        <v>1.92</v>
      </c>
      <c r="P10" s="313" t="s">
        <v>206</v>
      </c>
      <c r="Q10" s="314"/>
      <c r="R10" s="315"/>
    </row>
    <row r="11" spans="1:18" x14ac:dyDescent="0.25">
      <c r="A11" s="13" t="s">
        <v>20</v>
      </c>
      <c r="B11" s="14">
        <v>10.9</v>
      </c>
      <c r="C11" s="14">
        <v>0.24</v>
      </c>
      <c r="D11" s="14">
        <v>2.13</v>
      </c>
      <c r="E11" s="14"/>
      <c r="F11" s="14"/>
      <c r="G11" s="14"/>
      <c r="H11" s="14"/>
      <c r="I11" s="14"/>
      <c r="J11" s="14">
        <v>1.45</v>
      </c>
      <c r="K11" s="14"/>
      <c r="L11" s="14">
        <v>5.64</v>
      </c>
      <c r="M11" s="14"/>
      <c r="N11" s="14">
        <v>20.36</v>
      </c>
      <c r="P11" s="113" t="s">
        <v>164</v>
      </c>
      <c r="Q11" s="14">
        <v>2564.9900000000002</v>
      </c>
      <c r="R11" s="26">
        <f t="shared" ref="R11:R23" si="1">Q11/$Q$23</f>
        <v>0.77469208512283394</v>
      </c>
    </row>
    <row r="12" spans="1:18" x14ac:dyDescent="0.25">
      <c r="A12" s="13" t="s">
        <v>21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>
        <v>1.01</v>
      </c>
      <c r="M12" s="14"/>
      <c r="N12" s="14">
        <v>1.01</v>
      </c>
      <c r="P12" s="113" t="s">
        <v>165</v>
      </c>
      <c r="Q12" s="14">
        <v>110.24</v>
      </c>
      <c r="R12" s="135">
        <f t="shared" si="1"/>
        <v>3.329527813517448E-2</v>
      </c>
    </row>
    <row r="13" spans="1:18" x14ac:dyDescent="0.25">
      <c r="A13" s="95" t="s">
        <v>63</v>
      </c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>
        <f>L14</f>
        <v>0.44</v>
      </c>
      <c r="M13" s="96">
        <f>M14</f>
        <v>0.01</v>
      </c>
      <c r="N13" s="96">
        <f>N14</f>
        <v>0.45</v>
      </c>
      <c r="P13" s="113" t="s">
        <v>166</v>
      </c>
      <c r="Q13" s="14">
        <v>110.94999999999999</v>
      </c>
      <c r="R13" s="135">
        <f t="shared" si="1"/>
        <v>3.3509716156545799E-2</v>
      </c>
    </row>
    <row r="14" spans="1:18" x14ac:dyDescent="0.25">
      <c r="A14" s="13" t="s">
        <v>64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>
        <v>0.44</v>
      </c>
      <c r="M14" s="14">
        <v>0.01</v>
      </c>
      <c r="N14" s="14">
        <v>0.45</v>
      </c>
      <c r="P14" s="113" t="s">
        <v>167</v>
      </c>
      <c r="Q14" s="14">
        <v>34.29</v>
      </c>
      <c r="R14" s="135">
        <f t="shared" si="1"/>
        <v>1.0356450356087926E-2</v>
      </c>
    </row>
    <row r="15" spans="1:18" x14ac:dyDescent="0.25">
      <c r="A15" s="95" t="s">
        <v>60</v>
      </c>
      <c r="B15" s="96">
        <f>SUM(B16:B18)</f>
        <v>221.53000000000003</v>
      </c>
      <c r="C15" s="96">
        <f t="shared" ref="C15:N15" si="2">SUM(C16:C18)</f>
        <v>2.46</v>
      </c>
      <c r="D15" s="96">
        <f t="shared" si="2"/>
        <v>105.22999999999999</v>
      </c>
      <c r="E15" s="96"/>
      <c r="F15" s="96">
        <f t="shared" si="2"/>
        <v>3.8600000000000003</v>
      </c>
      <c r="G15" s="96">
        <f t="shared" si="2"/>
        <v>0.74</v>
      </c>
      <c r="H15" s="96"/>
      <c r="I15" s="96"/>
      <c r="J15" s="96"/>
      <c r="K15" s="96">
        <f t="shared" si="2"/>
        <v>0.17</v>
      </c>
      <c r="L15" s="96">
        <f t="shared" si="2"/>
        <v>94.660000000000011</v>
      </c>
      <c r="M15" s="96">
        <f>SUM(M16:M18)</f>
        <v>2.2599999999999998</v>
      </c>
      <c r="N15" s="96">
        <f t="shared" si="2"/>
        <v>430.90999999999997</v>
      </c>
      <c r="P15" s="113" t="s">
        <v>168</v>
      </c>
      <c r="Q15" s="14">
        <v>32.379999999999995</v>
      </c>
      <c r="R15" s="135">
        <f t="shared" si="1"/>
        <v>9.7795818760608635E-3</v>
      </c>
    </row>
    <row r="16" spans="1:18" x14ac:dyDescent="0.25">
      <c r="A16" s="13" t="s">
        <v>22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>
        <v>0.19</v>
      </c>
      <c r="N16" s="14">
        <v>0.19</v>
      </c>
      <c r="P16" s="113" t="s">
        <v>169</v>
      </c>
      <c r="Q16" s="14">
        <v>11.24</v>
      </c>
      <c r="R16" s="135">
        <f t="shared" si="1"/>
        <v>3.3947652960754828E-3</v>
      </c>
    </row>
    <row r="17" spans="1:18" x14ac:dyDescent="0.25">
      <c r="A17" s="13" t="s">
        <v>23</v>
      </c>
      <c r="B17" s="14">
        <v>221.23000000000002</v>
      </c>
      <c r="C17" s="14">
        <v>2.46</v>
      </c>
      <c r="D17" s="14">
        <v>105.22999999999999</v>
      </c>
      <c r="E17" s="14"/>
      <c r="F17" s="14">
        <v>3.8600000000000003</v>
      </c>
      <c r="G17" s="14">
        <v>0.74</v>
      </c>
      <c r="H17" s="14"/>
      <c r="I17" s="14"/>
      <c r="J17" s="14"/>
      <c r="K17" s="14">
        <v>0.17</v>
      </c>
      <c r="L17" s="14">
        <v>87.77000000000001</v>
      </c>
      <c r="M17" s="14">
        <v>1.31</v>
      </c>
      <c r="N17" s="14">
        <v>422.77</v>
      </c>
      <c r="P17" s="113" t="s">
        <v>170</v>
      </c>
      <c r="Q17" s="14">
        <v>1.9900000000000002</v>
      </c>
      <c r="R17" s="135">
        <f t="shared" si="1"/>
        <v>6.010305106041113E-4</v>
      </c>
    </row>
    <row r="18" spans="1:18" x14ac:dyDescent="0.25">
      <c r="A18" s="13" t="s">
        <v>24</v>
      </c>
      <c r="B18" s="14">
        <v>0.3</v>
      </c>
      <c r="C18" s="14"/>
      <c r="D18" s="14"/>
      <c r="E18" s="14"/>
      <c r="F18" s="14"/>
      <c r="G18" s="14"/>
      <c r="H18" s="14"/>
      <c r="I18" s="14"/>
      <c r="J18" s="14"/>
      <c r="K18" s="14"/>
      <c r="L18" s="14">
        <v>6.89</v>
      </c>
      <c r="M18" s="14">
        <v>0.76</v>
      </c>
      <c r="N18" s="14">
        <v>7.9499999999999993</v>
      </c>
      <c r="P18" s="113" t="s">
        <v>171</v>
      </c>
      <c r="Q18" s="14">
        <v>0.89999999999999991</v>
      </c>
      <c r="R18" s="135">
        <f t="shared" si="1"/>
        <v>2.7182284399180907E-4</v>
      </c>
    </row>
    <row r="19" spans="1:18" x14ac:dyDescent="0.25">
      <c r="A19" s="95" t="s">
        <v>53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>
        <f>SUM(L20:L22)</f>
        <v>4.22</v>
      </c>
      <c r="M19" s="96"/>
      <c r="N19" s="96">
        <f>SUM(N20:N22)</f>
        <v>4.22</v>
      </c>
      <c r="P19" s="113" t="s">
        <v>172</v>
      </c>
      <c r="Q19" s="14">
        <v>1.45</v>
      </c>
      <c r="R19" s="135">
        <f t="shared" si="1"/>
        <v>4.3793680420902575E-4</v>
      </c>
    </row>
    <row r="20" spans="1:18" ht="15" customHeight="1" x14ac:dyDescent="0.25">
      <c r="A20" s="13" t="s">
        <v>35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>
        <v>2.37</v>
      </c>
      <c r="M20" s="14"/>
      <c r="N20" s="14">
        <v>2.37</v>
      </c>
      <c r="P20" s="113" t="s">
        <v>173</v>
      </c>
      <c r="Q20" s="14">
        <v>0.17</v>
      </c>
      <c r="R20" s="135">
        <f t="shared" si="1"/>
        <v>5.1344314976230612E-5</v>
      </c>
    </row>
    <row r="21" spans="1:18" ht="15" customHeight="1" x14ac:dyDescent="0.25">
      <c r="A21" s="13" t="s">
        <v>36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>
        <v>1.05</v>
      </c>
      <c r="M21" s="14"/>
      <c r="N21" s="14">
        <v>1.05</v>
      </c>
      <c r="P21" s="113" t="s">
        <v>159</v>
      </c>
      <c r="Q21" s="14">
        <v>140.69999999999999</v>
      </c>
      <c r="R21" s="26">
        <f t="shared" si="1"/>
        <v>4.2494971277386155E-2</v>
      </c>
    </row>
    <row r="22" spans="1:18" x14ac:dyDescent="0.25">
      <c r="A22" s="13" t="s">
        <v>41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>
        <v>0.8</v>
      </c>
      <c r="M22" s="14"/>
      <c r="N22" s="14">
        <v>0.8</v>
      </c>
      <c r="P22" s="263" t="s">
        <v>300</v>
      </c>
      <c r="Q22" s="14">
        <f>M51</f>
        <v>301.64999999999998</v>
      </c>
      <c r="R22" s="26">
        <f t="shared" si="1"/>
        <v>9.1105956544588015E-2</v>
      </c>
    </row>
    <row r="23" spans="1:18" x14ac:dyDescent="0.25">
      <c r="A23" s="95" t="s">
        <v>52</v>
      </c>
      <c r="B23" s="96"/>
      <c r="C23" s="96">
        <f>SUM(C24:C27)</f>
        <v>0.48</v>
      </c>
      <c r="D23" s="96">
        <f>SUM(D24:D27)</f>
        <v>1.26</v>
      </c>
      <c r="E23" s="96"/>
      <c r="F23" s="96"/>
      <c r="G23" s="96"/>
      <c r="H23" s="96"/>
      <c r="I23" s="96"/>
      <c r="J23" s="96"/>
      <c r="K23" s="96"/>
      <c r="L23" s="96">
        <f>SUM(L24:L27)</f>
        <v>1.8800000000000001</v>
      </c>
      <c r="M23" s="96">
        <f>SUM(M24:M27)</f>
        <v>0.68</v>
      </c>
      <c r="N23" s="96">
        <f>SUM(N24:N27)</f>
        <v>4.3</v>
      </c>
      <c r="P23" s="113" t="s">
        <v>205</v>
      </c>
      <c r="Q23" s="12">
        <v>3310.9799999999996</v>
      </c>
      <c r="R23" s="28">
        <f t="shared" si="1"/>
        <v>1</v>
      </c>
    </row>
    <row r="24" spans="1:18" x14ac:dyDescent="0.25">
      <c r="A24" s="13" t="s">
        <v>29</v>
      </c>
      <c r="B24" s="14"/>
      <c r="C24" s="14"/>
      <c r="D24" s="14">
        <v>1.26</v>
      </c>
      <c r="E24" s="14"/>
      <c r="F24" s="14"/>
      <c r="G24" s="14"/>
      <c r="H24" s="14"/>
      <c r="I24" s="14"/>
      <c r="J24" s="14"/>
      <c r="K24" s="14"/>
      <c r="L24" s="14"/>
      <c r="M24" s="14"/>
      <c r="N24" s="14">
        <v>1.26</v>
      </c>
    </row>
    <row r="25" spans="1:18" x14ac:dyDescent="0.25">
      <c r="A25" s="13" t="s">
        <v>31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>
        <v>1.35</v>
      </c>
      <c r="M25" s="14">
        <v>0.68</v>
      </c>
      <c r="N25" s="14">
        <v>2.0300000000000002</v>
      </c>
    </row>
    <row r="26" spans="1:18" x14ac:dyDescent="0.25">
      <c r="A26" s="13" t="s">
        <v>32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>
        <v>0.47</v>
      </c>
      <c r="M26" s="14"/>
      <c r="N26" s="14">
        <v>0.47</v>
      </c>
    </row>
    <row r="27" spans="1:18" x14ac:dyDescent="0.25">
      <c r="A27" s="13" t="s">
        <v>33</v>
      </c>
      <c r="B27" s="14"/>
      <c r="C27" s="14">
        <v>0.48</v>
      </c>
      <c r="D27" s="14"/>
      <c r="E27" s="14"/>
      <c r="F27" s="14"/>
      <c r="G27" s="14"/>
      <c r="H27" s="14"/>
      <c r="I27" s="14"/>
      <c r="J27" s="14"/>
      <c r="K27" s="14"/>
      <c r="L27" s="14">
        <v>0.06</v>
      </c>
      <c r="M27" s="14"/>
      <c r="N27" s="14">
        <v>0.54</v>
      </c>
    </row>
    <row r="28" spans="1:18" x14ac:dyDescent="0.25">
      <c r="A28" s="95" t="s">
        <v>65</v>
      </c>
      <c r="B28" s="96">
        <f>B29</f>
        <v>7.0000000000000007E-2</v>
      </c>
      <c r="C28" s="96"/>
      <c r="D28" s="96"/>
      <c r="E28" s="96"/>
      <c r="F28" s="96"/>
      <c r="G28" s="96"/>
      <c r="H28" s="96"/>
      <c r="I28" s="96"/>
      <c r="J28" s="96"/>
      <c r="K28" s="96"/>
      <c r="L28" s="96">
        <f>L29</f>
        <v>0.45</v>
      </c>
      <c r="M28" s="96"/>
      <c r="N28" s="96">
        <f>N29</f>
        <v>0.52</v>
      </c>
    </row>
    <row r="29" spans="1:18" x14ac:dyDescent="0.25">
      <c r="A29" s="13" t="s">
        <v>66</v>
      </c>
      <c r="B29" s="14">
        <v>7.0000000000000007E-2</v>
      </c>
      <c r="C29" s="14"/>
      <c r="D29" s="14"/>
      <c r="E29" s="14"/>
      <c r="F29" s="14"/>
      <c r="G29" s="14"/>
      <c r="H29" s="14"/>
      <c r="I29" s="14"/>
      <c r="J29" s="14"/>
      <c r="K29" s="14"/>
      <c r="L29" s="14">
        <v>0.45</v>
      </c>
      <c r="M29" s="14"/>
      <c r="N29" s="14">
        <v>0.52</v>
      </c>
    </row>
    <row r="30" spans="1:18" x14ac:dyDescent="0.25">
      <c r="A30" s="95" t="s">
        <v>51</v>
      </c>
      <c r="B30" s="96">
        <f>SUM(B31:B34)</f>
        <v>2332.4899999999998</v>
      </c>
      <c r="C30" s="96">
        <f t="shared" ref="C30:L30" si="3">SUM(C31:C34)</f>
        <v>107.06</v>
      </c>
      <c r="D30" s="96">
        <f t="shared" si="3"/>
        <v>2.0500000000000003</v>
      </c>
      <c r="E30" s="96">
        <f t="shared" si="3"/>
        <v>34.29</v>
      </c>
      <c r="F30" s="96">
        <f t="shared" si="3"/>
        <v>28.069999999999997</v>
      </c>
      <c r="G30" s="96">
        <f t="shared" si="3"/>
        <v>10.5</v>
      </c>
      <c r="H30" s="96">
        <f t="shared" si="3"/>
        <v>1.3800000000000001</v>
      </c>
      <c r="I30" s="96">
        <f t="shared" si="3"/>
        <v>0.89999999999999991</v>
      </c>
      <c r="J30" s="96"/>
      <c r="K30" s="96"/>
      <c r="L30" s="96">
        <f t="shared" si="3"/>
        <v>22.6</v>
      </c>
      <c r="M30" s="96">
        <f>SUM(M31:M34)</f>
        <v>298.45999999999998</v>
      </c>
      <c r="N30" s="96">
        <f>SUM(N31:N34)</f>
        <v>2837.7999999999997</v>
      </c>
    </row>
    <row r="31" spans="1:18" x14ac:dyDescent="0.25">
      <c r="A31" s="13" t="s">
        <v>25</v>
      </c>
      <c r="B31" s="14">
        <v>41.87</v>
      </c>
      <c r="C31" s="14">
        <v>0.47</v>
      </c>
      <c r="D31" s="14"/>
      <c r="E31" s="14"/>
      <c r="F31" s="14"/>
      <c r="G31" s="14">
        <v>0.51</v>
      </c>
      <c r="H31" s="14"/>
      <c r="I31" s="14"/>
      <c r="J31" s="14"/>
      <c r="K31" s="14"/>
      <c r="L31" s="14"/>
      <c r="M31" s="14">
        <v>0.01</v>
      </c>
      <c r="N31" s="14">
        <v>42.86</v>
      </c>
    </row>
    <row r="32" spans="1:18" x14ac:dyDescent="0.25">
      <c r="A32" s="13" t="s">
        <v>26</v>
      </c>
      <c r="B32" s="14">
        <v>386.95</v>
      </c>
      <c r="C32" s="14"/>
      <c r="D32" s="14"/>
      <c r="E32" s="14">
        <v>0.53</v>
      </c>
      <c r="F32" s="14"/>
      <c r="G32" s="14"/>
      <c r="H32" s="14"/>
      <c r="I32" s="14"/>
      <c r="J32" s="14"/>
      <c r="K32" s="14"/>
      <c r="L32" s="14"/>
      <c r="M32" s="14">
        <v>0.01</v>
      </c>
      <c r="N32" s="14">
        <v>387.48999999999995</v>
      </c>
    </row>
    <row r="33" spans="1:14" x14ac:dyDescent="0.25">
      <c r="A33" s="13" t="s">
        <v>27</v>
      </c>
      <c r="B33" s="14">
        <v>3.4799999999999995</v>
      </c>
      <c r="C33" s="14">
        <v>0.25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>
        <v>3.7299999999999995</v>
      </c>
    </row>
    <row r="34" spans="1:14" x14ac:dyDescent="0.25">
      <c r="A34" s="13" t="s">
        <v>28</v>
      </c>
      <c r="B34" s="14">
        <v>1900.1899999999996</v>
      </c>
      <c r="C34" s="14">
        <v>106.34</v>
      </c>
      <c r="D34" s="14">
        <v>2.0500000000000003</v>
      </c>
      <c r="E34" s="14">
        <v>33.76</v>
      </c>
      <c r="F34" s="14">
        <v>28.069999999999997</v>
      </c>
      <c r="G34" s="14">
        <v>9.99</v>
      </c>
      <c r="H34" s="14">
        <v>1.3800000000000001</v>
      </c>
      <c r="I34" s="14">
        <v>0.89999999999999991</v>
      </c>
      <c r="J34" s="14"/>
      <c r="K34" s="14"/>
      <c r="L34" s="14">
        <v>22.6</v>
      </c>
      <c r="M34" s="14">
        <v>298.44</v>
      </c>
      <c r="N34" s="14">
        <v>2403.7199999999998</v>
      </c>
    </row>
    <row r="35" spans="1:14" x14ac:dyDescent="0.25">
      <c r="A35" s="95" t="s">
        <v>54</v>
      </c>
      <c r="B35" s="96"/>
      <c r="C35" s="96"/>
      <c r="D35" s="96">
        <f>SUM(D36:D37)</f>
        <v>0.28000000000000003</v>
      </c>
      <c r="E35" s="96"/>
      <c r="F35" s="96"/>
      <c r="G35" s="96"/>
      <c r="H35" s="96"/>
      <c r="I35" s="96"/>
      <c r="J35" s="96"/>
      <c r="K35" s="96"/>
      <c r="L35" s="96">
        <f>SUM(L36:L37)</f>
        <v>0.13</v>
      </c>
      <c r="M35" s="96"/>
      <c r="N35" s="96">
        <f>SUM(N36:N37)</f>
        <v>0.41</v>
      </c>
    </row>
    <row r="36" spans="1:14" x14ac:dyDescent="0.25">
      <c r="A36" s="13" t="s">
        <v>43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>
        <v>0.04</v>
      </c>
      <c r="M36" s="14"/>
      <c r="N36" s="14">
        <v>0.04</v>
      </c>
    </row>
    <row r="37" spans="1:14" x14ac:dyDescent="0.25">
      <c r="A37" s="13" t="s">
        <v>44</v>
      </c>
      <c r="B37" s="14"/>
      <c r="C37" s="14"/>
      <c r="D37" s="14">
        <v>0.28000000000000003</v>
      </c>
      <c r="E37" s="14"/>
      <c r="F37" s="14"/>
      <c r="G37" s="14"/>
      <c r="H37" s="14"/>
      <c r="I37" s="14"/>
      <c r="J37" s="14"/>
      <c r="K37" s="14"/>
      <c r="L37" s="14">
        <v>0.09</v>
      </c>
      <c r="M37" s="14"/>
      <c r="N37" s="14">
        <v>0.37</v>
      </c>
    </row>
    <row r="38" spans="1:14" x14ac:dyDescent="0.25">
      <c r="A38" s="95" t="s">
        <v>67</v>
      </c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>
        <f>SUM(L39:L42)</f>
        <v>1.71</v>
      </c>
      <c r="M38" s="96"/>
      <c r="N38" s="96">
        <f>SUM(N39:N42)</f>
        <v>1.71</v>
      </c>
    </row>
    <row r="39" spans="1:14" x14ac:dyDescent="0.25">
      <c r="A39" s="13" t="s">
        <v>68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>
        <v>0.18</v>
      </c>
      <c r="M39" s="14"/>
      <c r="N39" s="14">
        <v>0.18</v>
      </c>
    </row>
    <row r="40" spans="1:14" x14ac:dyDescent="0.25">
      <c r="A40" s="13" t="s">
        <v>69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>
        <v>0.43</v>
      </c>
      <c r="M40" s="14"/>
      <c r="N40" s="14">
        <v>0.43</v>
      </c>
    </row>
    <row r="41" spans="1:14" x14ac:dyDescent="0.25">
      <c r="A41" s="13" t="s">
        <v>70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>
        <v>0.31</v>
      </c>
      <c r="M41" s="14"/>
      <c r="N41" s="14">
        <v>0.31</v>
      </c>
    </row>
    <row r="42" spans="1:14" x14ac:dyDescent="0.25">
      <c r="A42" s="13" t="s">
        <v>71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>
        <v>0.79</v>
      </c>
      <c r="M42" s="14"/>
      <c r="N42" s="14">
        <v>0.79</v>
      </c>
    </row>
    <row r="43" spans="1:14" x14ac:dyDescent="0.25">
      <c r="A43" s="95" t="s">
        <v>55</v>
      </c>
      <c r="B43" s="96"/>
      <c r="C43" s="96"/>
      <c r="D43" s="96"/>
      <c r="E43" s="96"/>
      <c r="F43" s="96"/>
      <c r="G43" s="96"/>
      <c r="H43" s="96">
        <f>H44</f>
        <v>0.61</v>
      </c>
      <c r="I43" s="96"/>
      <c r="J43" s="96"/>
      <c r="K43" s="96"/>
      <c r="L43" s="96">
        <f>L44</f>
        <v>0.52</v>
      </c>
      <c r="M43" s="96"/>
      <c r="N43" s="96">
        <f>N44</f>
        <v>1.1299999999999999</v>
      </c>
    </row>
    <row r="44" spans="1:14" x14ac:dyDescent="0.25">
      <c r="A44" s="13" t="s">
        <v>45</v>
      </c>
      <c r="B44" s="14"/>
      <c r="C44" s="14"/>
      <c r="D44" s="14"/>
      <c r="E44" s="14"/>
      <c r="F44" s="14"/>
      <c r="G44" s="14"/>
      <c r="H44" s="14">
        <v>0.61</v>
      </c>
      <c r="I44" s="14"/>
      <c r="J44" s="14"/>
      <c r="K44" s="14"/>
      <c r="L44" s="14">
        <v>0.52</v>
      </c>
      <c r="M44" s="14"/>
      <c r="N44" s="14">
        <v>1.1299999999999999</v>
      </c>
    </row>
    <row r="45" spans="1:14" x14ac:dyDescent="0.25">
      <c r="A45" s="95" t="s">
        <v>57</v>
      </c>
      <c r="B45" s="96"/>
      <c r="C45" s="96"/>
      <c r="D45" s="96"/>
      <c r="E45" s="96"/>
      <c r="F45" s="96">
        <f>F46</f>
        <v>0.33</v>
      </c>
      <c r="G45" s="96"/>
      <c r="H45" s="96"/>
      <c r="I45" s="96"/>
      <c r="J45" s="96"/>
      <c r="K45" s="96"/>
      <c r="L45" s="96">
        <f>L46</f>
        <v>1.5999999999999999</v>
      </c>
      <c r="M45" s="96">
        <f>M46</f>
        <v>0.24</v>
      </c>
      <c r="N45" s="96">
        <f>N46</f>
        <v>2.17</v>
      </c>
    </row>
    <row r="46" spans="1:14" x14ac:dyDescent="0.25">
      <c r="A46" s="13" t="s">
        <v>47</v>
      </c>
      <c r="B46" s="14"/>
      <c r="C46" s="14"/>
      <c r="D46" s="14"/>
      <c r="E46" s="14"/>
      <c r="F46" s="14">
        <v>0.33</v>
      </c>
      <c r="G46" s="14"/>
      <c r="H46" s="14"/>
      <c r="I46" s="14"/>
      <c r="J46" s="14"/>
      <c r="K46" s="14"/>
      <c r="L46" s="14">
        <v>1.5999999999999999</v>
      </c>
      <c r="M46" s="14">
        <v>0.24</v>
      </c>
      <c r="N46" s="14">
        <v>2.17</v>
      </c>
    </row>
    <row r="47" spans="1:14" x14ac:dyDescent="0.25">
      <c r="A47" s="95" t="s">
        <v>58</v>
      </c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>
        <f>SUM(L48:L50)</f>
        <v>3.9200000000000004</v>
      </c>
      <c r="M47" s="96"/>
      <c r="N47" s="96">
        <f>SUM(N48:N50)</f>
        <v>3.9200000000000004</v>
      </c>
    </row>
    <row r="48" spans="1:14" x14ac:dyDescent="0.25">
      <c r="A48" s="13" t="s">
        <v>48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>
        <v>0.18</v>
      </c>
      <c r="M48" s="14"/>
      <c r="N48" s="14">
        <v>0.18</v>
      </c>
    </row>
    <row r="49" spans="1:18" x14ac:dyDescent="0.25">
      <c r="A49" s="13" t="s">
        <v>72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>
        <v>3.56</v>
      </c>
      <c r="M49" s="14"/>
      <c r="N49" s="14">
        <v>3.56</v>
      </c>
    </row>
    <row r="50" spans="1:18" x14ac:dyDescent="0.25">
      <c r="A50" s="13" t="s">
        <v>73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>
        <v>0.18</v>
      </c>
      <c r="M50" s="14"/>
      <c r="N50" s="14">
        <v>0.18</v>
      </c>
    </row>
    <row r="51" spans="1:18" x14ac:dyDescent="0.25">
      <c r="A51" s="112" t="s">
        <v>59</v>
      </c>
      <c r="B51" s="115">
        <f>B47+B45+B43+B38+B35+B30+B28+B23+B19+B15+B13+B9+B6</f>
        <v>2564.9900000000002</v>
      </c>
      <c r="C51" s="115">
        <f t="shared" ref="C51:N51" si="4">C47+C45+C43+C38+C35+C30+C28+C23+C19+C15+C13+C9+C6</f>
        <v>110.24</v>
      </c>
      <c r="D51" s="115">
        <f t="shared" si="4"/>
        <v>110.94999999999999</v>
      </c>
      <c r="E51" s="115">
        <f t="shared" si="4"/>
        <v>34.29</v>
      </c>
      <c r="F51" s="115">
        <f t="shared" si="4"/>
        <v>32.379999999999995</v>
      </c>
      <c r="G51" s="115">
        <f t="shared" si="4"/>
        <v>11.24</v>
      </c>
      <c r="H51" s="115">
        <f t="shared" si="4"/>
        <v>1.9900000000000002</v>
      </c>
      <c r="I51" s="115">
        <f t="shared" si="4"/>
        <v>0.89999999999999991</v>
      </c>
      <c r="J51" s="115">
        <f t="shared" si="4"/>
        <v>1.45</v>
      </c>
      <c r="K51" s="115">
        <f t="shared" si="4"/>
        <v>0.17</v>
      </c>
      <c r="L51" s="115">
        <f t="shared" si="4"/>
        <v>140.69999999999999</v>
      </c>
      <c r="M51" s="115">
        <f t="shared" si="4"/>
        <v>301.64999999999998</v>
      </c>
      <c r="N51" s="115">
        <f t="shared" si="4"/>
        <v>3310.9799999999996</v>
      </c>
    </row>
    <row r="54" spans="1:18" ht="18.75" x14ac:dyDescent="0.3">
      <c r="A54" s="103" t="s">
        <v>109</v>
      </c>
    </row>
    <row r="55" spans="1:18" x14ac:dyDescent="0.25">
      <c r="A55" s="299" t="s">
        <v>94</v>
      </c>
      <c r="B55" s="299" t="s">
        <v>148</v>
      </c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</row>
    <row r="56" spans="1:18" ht="30" customHeight="1" x14ac:dyDescent="0.25">
      <c r="A56" s="299"/>
      <c r="B56" s="116" t="s">
        <v>164</v>
      </c>
      <c r="C56" s="116" t="s">
        <v>165</v>
      </c>
      <c r="D56" s="118" t="s">
        <v>167</v>
      </c>
      <c r="E56" s="118" t="s">
        <v>168</v>
      </c>
      <c r="F56" s="118" t="s">
        <v>174</v>
      </c>
      <c r="G56" s="116" t="s">
        <v>166</v>
      </c>
      <c r="H56" s="116" t="s">
        <v>169</v>
      </c>
      <c r="I56" s="116" t="s">
        <v>170</v>
      </c>
      <c r="J56" s="116" t="s">
        <v>171</v>
      </c>
      <c r="K56" s="116" t="s">
        <v>175</v>
      </c>
      <c r="L56" s="116" t="s">
        <v>159</v>
      </c>
      <c r="M56" s="116" t="s">
        <v>298</v>
      </c>
      <c r="N56" s="117" t="s">
        <v>160</v>
      </c>
      <c r="P56" s="311" t="s">
        <v>207</v>
      </c>
      <c r="Q56" s="311"/>
      <c r="R56" s="311"/>
    </row>
    <row r="57" spans="1:18" x14ac:dyDescent="0.25">
      <c r="A57" s="106" t="s">
        <v>49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>
        <f>K58</f>
        <v>0.43</v>
      </c>
      <c r="L57" s="108"/>
      <c r="M57" s="108"/>
      <c r="N57" s="108">
        <f>N58</f>
        <v>0.43</v>
      </c>
      <c r="P57" s="116" t="s">
        <v>164</v>
      </c>
      <c r="Q57" s="123">
        <v>3071.7099999999996</v>
      </c>
      <c r="R57" s="124">
        <f t="shared" ref="R57:R69" si="5">Q57/$Q$69</f>
        <v>0.4443928444839883</v>
      </c>
    </row>
    <row r="58" spans="1:18" x14ac:dyDescent="0.25">
      <c r="A58" s="13" t="s">
        <v>13</v>
      </c>
      <c r="B58" s="14"/>
      <c r="C58" s="14"/>
      <c r="D58" s="14"/>
      <c r="E58" s="14"/>
      <c r="F58" s="14"/>
      <c r="G58" s="14"/>
      <c r="H58" s="14"/>
      <c r="I58" s="14"/>
      <c r="J58" s="14"/>
      <c r="K58" s="14">
        <v>0.43</v>
      </c>
      <c r="L58" s="14"/>
      <c r="M58" s="14"/>
      <c r="N58" s="14">
        <v>0.43</v>
      </c>
      <c r="P58" s="116" t="s">
        <v>165</v>
      </c>
      <c r="Q58" s="123">
        <v>2015.8299999999995</v>
      </c>
      <c r="R58" s="124">
        <f t="shared" si="5"/>
        <v>0.29163574285858951</v>
      </c>
    </row>
    <row r="59" spans="1:18" x14ac:dyDescent="0.25">
      <c r="A59" s="106" t="s">
        <v>50</v>
      </c>
      <c r="B59" s="108">
        <f>B62</f>
        <v>0.28000000000000003</v>
      </c>
      <c r="C59" s="108">
        <f>C61</f>
        <v>6.51</v>
      </c>
      <c r="D59" s="108"/>
      <c r="E59" s="108"/>
      <c r="F59" s="108"/>
      <c r="G59" s="108"/>
      <c r="H59" s="108"/>
      <c r="I59" s="108"/>
      <c r="J59" s="108"/>
      <c r="K59" s="108"/>
      <c r="L59" s="108">
        <f>SUM(L61:L62)</f>
        <v>0.24000000000000002</v>
      </c>
      <c r="M59" s="108"/>
      <c r="N59" s="108">
        <f>SUM(N61:N62)</f>
        <v>7.0299999999999994</v>
      </c>
      <c r="P59" s="118" t="s">
        <v>167</v>
      </c>
      <c r="Q59" s="123">
        <v>718.87</v>
      </c>
      <c r="R59" s="124">
        <f t="shared" si="5"/>
        <v>0.10400092590583249</v>
      </c>
    </row>
    <row r="60" spans="1:18" s="50" customFormat="1" x14ac:dyDescent="0.25">
      <c r="A60" s="72" t="s">
        <v>19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">
        <v>0.5</v>
      </c>
      <c r="M60" s="14"/>
      <c r="N60" s="14">
        <v>0.5</v>
      </c>
      <c r="P60" s="118" t="s">
        <v>168</v>
      </c>
      <c r="Q60" s="123">
        <v>605.87000000000012</v>
      </c>
      <c r="R60" s="124">
        <f t="shared" si="5"/>
        <v>8.765290105104781E-2</v>
      </c>
    </row>
    <row r="61" spans="1:18" x14ac:dyDescent="0.25">
      <c r="A61" s="13" t="s">
        <v>20</v>
      </c>
      <c r="B61" s="14"/>
      <c r="C61" s="14">
        <v>6.51</v>
      </c>
      <c r="D61" s="14"/>
      <c r="E61" s="14"/>
      <c r="F61" s="14"/>
      <c r="G61" s="14"/>
      <c r="H61" s="14"/>
      <c r="I61" s="14"/>
      <c r="J61" s="14"/>
      <c r="K61" s="14"/>
      <c r="L61" s="14">
        <v>0.14000000000000001</v>
      </c>
      <c r="M61" s="14"/>
      <c r="N61" s="14">
        <v>6.6499999999999995</v>
      </c>
      <c r="P61" s="118" t="s">
        <v>174</v>
      </c>
      <c r="Q61" s="123">
        <v>40.549999999999997</v>
      </c>
      <c r="R61" s="129">
        <f t="shared" si="5"/>
        <v>5.8664814855001702E-3</v>
      </c>
    </row>
    <row r="62" spans="1:18" x14ac:dyDescent="0.25">
      <c r="A62" s="13" t="s">
        <v>21</v>
      </c>
      <c r="B62" s="14">
        <v>0.28000000000000003</v>
      </c>
      <c r="C62" s="14"/>
      <c r="D62" s="14"/>
      <c r="E62" s="14"/>
      <c r="F62" s="14"/>
      <c r="G62" s="14"/>
      <c r="H62" s="14"/>
      <c r="I62" s="14"/>
      <c r="J62" s="14"/>
      <c r="K62" s="14"/>
      <c r="L62" s="14">
        <v>0.1</v>
      </c>
      <c r="M62" s="14"/>
      <c r="N62" s="14">
        <v>0.38</v>
      </c>
      <c r="P62" s="116" t="s">
        <v>301</v>
      </c>
      <c r="Q62" s="123">
        <v>10.02</v>
      </c>
      <c r="R62" s="129">
        <f t="shared" si="5"/>
        <v>1.4496213189817929E-3</v>
      </c>
    </row>
    <row r="63" spans="1:18" x14ac:dyDescent="0.25">
      <c r="A63" s="106" t="s">
        <v>60</v>
      </c>
      <c r="B63" s="108">
        <f>SUM(B64:B65)</f>
        <v>2.91</v>
      </c>
      <c r="C63" s="108"/>
      <c r="D63" s="108"/>
      <c r="E63" s="108"/>
      <c r="F63" s="108"/>
      <c r="G63" s="108">
        <f>SUM(G64:G65)</f>
        <v>3.4699999999999998</v>
      </c>
      <c r="H63" s="108"/>
      <c r="I63" s="108"/>
      <c r="J63" s="108"/>
      <c r="K63" s="108"/>
      <c r="L63" s="108">
        <f>SUM(L64:L65)</f>
        <v>4.5</v>
      </c>
      <c r="M63" s="108"/>
      <c r="N63" s="108">
        <f>SUM(N64:N66)</f>
        <v>10.919999999999998</v>
      </c>
      <c r="P63" s="116" t="s">
        <v>169</v>
      </c>
      <c r="Q63" s="123">
        <v>8.73</v>
      </c>
      <c r="R63" s="129">
        <f t="shared" si="5"/>
        <v>1.2629934246218616E-3</v>
      </c>
    </row>
    <row r="64" spans="1:18" ht="15" customHeight="1" x14ac:dyDescent="0.25">
      <c r="A64" s="13" t="s">
        <v>22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P64" s="116" t="s">
        <v>170</v>
      </c>
      <c r="Q64" s="123">
        <v>0.78</v>
      </c>
      <c r="R64" s="129">
        <f t="shared" si="5"/>
        <v>1.1284477333391204E-4</v>
      </c>
    </row>
    <row r="65" spans="1:18" x14ac:dyDescent="0.25">
      <c r="A65" s="13" t="s">
        <v>23</v>
      </c>
      <c r="B65" s="14">
        <v>2.91</v>
      </c>
      <c r="C65" s="14"/>
      <c r="D65" s="14"/>
      <c r="E65" s="14"/>
      <c r="F65" s="14"/>
      <c r="G65" s="14">
        <v>3.4699999999999998</v>
      </c>
      <c r="H65" s="14"/>
      <c r="I65" s="14"/>
      <c r="J65" s="14"/>
      <c r="K65" s="14"/>
      <c r="L65" s="14">
        <v>4.5</v>
      </c>
      <c r="M65" s="14"/>
      <c r="N65" s="14">
        <v>10.879999999999999</v>
      </c>
      <c r="P65" s="116" t="s">
        <v>171</v>
      </c>
      <c r="Q65" s="123">
        <v>1.1299999999999999</v>
      </c>
      <c r="R65" s="129">
        <f t="shared" si="5"/>
        <v>1.6348024854784691E-4</v>
      </c>
    </row>
    <row r="66" spans="1:18" x14ac:dyDescent="0.25">
      <c r="A66" s="13" t="s">
        <v>24</v>
      </c>
      <c r="B66" s="14"/>
      <c r="C66" s="14">
        <v>0.04</v>
      </c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>
        <v>0.04</v>
      </c>
      <c r="P66" s="116" t="s">
        <v>175</v>
      </c>
      <c r="Q66" s="123">
        <v>0.83000000000000007</v>
      </c>
      <c r="R66" s="129">
        <f t="shared" si="5"/>
        <v>1.2007841265018846E-4</v>
      </c>
    </row>
    <row r="67" spans="1:18" x14ac:dyDescent="0.25">
      <c r="A67" s="106" t="s">
        <v>53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>
        <f>SUM(L68:L70)</f>
        <v>3.51</v>
      </c>
      <c r="M67" s="108"/>
      <c r="N67" s="108">
        <f>SUM(N68:N70)</f>
        <v>3.51</v>
      </c>
      <c r="P67" s="116" t="s">
        <v>159</v>
      </c>
      <c r="Q67" s="123">
        <v>42.79</v>
      </c>
      <c r="R67" s="124">
        <f t="shared" si="5"/>
        <v>6.1905485268693534E-3</v>
      </c>
    </row>
    <row r="68" spans="1:18" x14ac:dyDescent="0.25">
      <c r="A68" s="13" t="s">
        <v>36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>
        <v>2.56</v>
      </c>
      <c r="M68" s="14"/>
      <c r="N68" s="14">
        <v>2.56</v>
      </c>
      <c r="P68" s="131" t="s">
        <v>298</v>
      </c>
      <c r="Q68" s="123">
        <f>M85</f>
        <v>395</v>
      </c>
      <c r="R68" s="124">
        <f t="shared" si="5"/>
        <v>5.7145750598583657E-2</v>
      </c>
    </row>
    <row r="69" spans="1:18" x14ac:dyDescent="0.25">
      <c r="A69" s="13" t="s">
        <v>41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>
        <v>0.86</v>
      </c>
      <c r="M69" s="14"/>
      <c r="N69" s="14">
        <v>0.86</v>
      </c>
      <c r="P69" s="131" t="s">
        <v>201</v>
      </c>
      <c r="Q69" s="143">
        <v>6912.15</v>
      </c>
      <c r="R69" s="142">
        <f t="shared" si="5"/>
        <v>1</v>
      </c>
    </row>
    <row r="70" spans="1:18" x14ac:dyDescent="0.25">
      <c r="A70" s="13" t="s">
        <v>42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>
        <v>0.09</v>
      </c>
      <c r="M70" s="14"/>
      <c r="N70" s="14">
        <v>0.09</v>
      </c>
    </row>
    <row r="71" spans="1:18" x14ac:dyDescent="0.25">
      <c r="A71" s="106" t="s">
        <v>52</v>
      </c>
      <c r="B71" s="108">
        <f>SUM(B72:B73)</f>
        <v>1.98</v>
      </c>
      <c r="C71" s="108"/>
      <c r="D71" s="108"/>
      <c r="E71" s="108"/>
      <c r="F71" s="108"/>
      <c r="G71" s="108">
        <f t="shared" ref="G71:N71" si="6">SUM(G72:G73)</f>
        <v>6.41</v>
      </c>
      <c r="H71" s="108"/>
      <c r="I71" s="108"/>
      <c r="J71" s="108"/>
      <c r="K71" s="108">
        <f t="shared" si="6"/>
        <v>0.4</v>
      </c>
      <c r="L71" s="108"/>
      <c r="M71" s="108">
        <f>SUM(M72:M73)</f>
        <v>0.32</v>
      </c>
      <c r="N71" s="108">
        <f t="shared" si="6"/>
        <v>9.1100000000000012</v>
      </c>
    </row>
    <row r="72" spans="1:18" x14ac:dyDescent="0.25">
      <c r="A72" s="13" t="s">
        <v>29</v>
      </c>
      <c r="B72" s="14">
        <v>1.98</v>
      </c>
      <c r="C72" s="14"/>
      <c r="D72" s="14"/>
      <c r="E72" s="14"/>
      <c r="F72" s="14"/>
      <c r="G72" s="14">
        <v>6.41</v>
      </c>
      <c r="H72" s="14"/>
      <c r="I72" s="14"/>
      <c r="J72" s="14"/>
      <c r="K72" s="14"/>
      <c r="L72" s="14"/>
      <c r="M72" s="14">
        <v>0.32</v>
      </c>
      <c r="N72" s="14">
        <v>8.7100000000000009</v>
      </c>
    </row>
    <row r="73" spans="1:18" x14ac:dyDescent="0.25">
      <c r="A73" s="13" t="s">
        <v>33</v>
      </c>
      <c r="B73" s="14"/>
      <c r="C73" s="14"/>
      <c r="D73" s="14"/>
      <c r="E73" s="14"/>
      <c r="F73" s="14"/>
      <c r="G73" s="14"/>
      <c r="H73" s="14"/>
      <c r="I73" s="14"/>
      <c r="J73" s="14"/>
      <c r="K73" s="14">
        <v>0.4</v>
      </c>
      <c r="L73" s="14"/>
      <c r="M73" s="14"/>
      <c r="N73" s="14">
        <v>0.4</v>
      </c>
    </row>
    <row r="74" spans="1:18" x14ac:dyDescent="0.25">
      <c r="A74" s="106" t="s">
        <v>51</v>
      </c>
      <c r="B74" s="108">
        <f>SUM(B75:B78)</f>
        <v>3066.5399999999995</v>
      </c>
      <c r="C74" s="108">
        <f t="shared" ref="C74:N74" si="7">SUM(C75:C78)</f>
        <v>2009.3199999999995</v>
      </c>
      <c r="D74" s="108">
        <f t="shared" si="7"/>
        <v>718.87</v>
      </c>
      <c r="E74" s="108">
        <f t="shared" si="7"/>
        <v>595.05000000000007</v>
      </c>
      <c r="F74" s="108">
        <f t="shared" si="7"/>
        <v>40.549999999999997</v>
      </c>
      <c r="G74" s="108"/>
      <c r="H74" s="108">
        <f t="shared" si="7"/>
        <v>8.73</v>
      </c>
      <c r="I74" s="108">
        <f t="shared" si="7"/>
        <v>0.78</v>
      </c>
      <c r="J74" s="108">
        <f t="shared" si="7"/>
        <v>1.1299999999999999</v>
      </c>
      <c r="K74" s="108"/>
      <c r="L74" s="108">
        <f t="shared" si="7"/>
        <v>33.69</v>
      </c>
      <c r="M74" s="108">
        <f>SUM(M75:M78)</f>
        <v>394.68</v>
      </c>
      <c r="N74" s="108">
        <f t="shared" si="7"/>
        <v>6869.3399999999992</v>
      </c>
    </row>
    <row r="75" spans="1:18" x14ac:dyDescent="0.25">
      <c r="A75" s="13" t="s">
        <v>25</v>
      </c>
      <c r="B75" s="14">
        <v>29.560000000000002</v>
      </c>
      <c r="C75" s="14">
        <v>1.53</v>
      </c>
      <c r="D75" s="14"/>
      <c r="E75" s="14">
        <v>1.31</v>
      </c>
      <c r="F75" s="14"/>
      <c r="G75" s="14"/>
      <c r="H75" s="14"/>
      <c r="I75" s="14"/>
      <c r="J75" s="14">
        <v>1.1299999999999999</v>
      </c>
      <c r="K75" s="14"/>
      <c r="L75" s="14"/>
      <c r="M75" s="14">
        <v>0.04</v>
      </c>
      <c r="N75" s="14">
        <v>33.570000000000007</v>
      </c>
    </row>
    <row r="76" spans="1:18" x14ac:dyDescent="0.25">
      <c r="A76" s="13" t="s">
        <v>26</v>
      </c>
      <c r="B76" s="14">
        <v>300.2600000000001</v>
      </c>
      <c r="C76" s="14">
        <v>76.069999999999993</v>
      </c>
      <c r="D76" s="14">
        <v>0.98</v>
      </c>
      <c r="E76" s="14">
        <v>9.01</v>
      </c>
      <c r="F76" s="14"/>
      <c r="G76" s="14"/>
      <c r="H76" s="14"/>
      <c r="I76" s="14"/>
      <c r="J76" s="14"/>
      <c r="K76" s="14"/>
      <c r="L76" s="14"/>
      <c r="M76" s="14">
        <v>0.62</v>
      </c>
      <c r="N76" s="14">
        <v>386.94000000000011</v>
      </c>
    </row>
    <row r="77" spans="1:18" x14ac:dyDescent="0.25">
      <c r="A77" s="13" t="s">
        <v>27</v>
      </c>
      <c r="B77" s="14">
        <v>3.14</v>
      </c>
      <c r="C77" s="14"/>
      <c r="D77" s="14"/>
      <c r="E77" s="14">
        <v>0.3</v>
      </c>
      <c r="F77" s="14"/>
      <c r="G77" s="14"/>
      <c r="H77" s="14"/>
      <c r="I77" s="14"/>
      <c r="J77" s="14"/>
      <c r="K77" s="14"/>
      <c r="L77" s="14"/>
      <c r="M77" s="14">
        <v>0.06</v>
      </c>
      <c r="N77" s="14">
        <v>3.5</v>
      </c>
    </row>
    <row r="78" spans="1:18" x14ac:dyDescent="0.25">
      <c r="A78" s="13" t="s">
        <v>28</v>
      </c>
      <c r="B78" s="14">
        <v>2733.5799999999995</v>
      </c>
      <c r="C78" s="14">
        <v>1931.7199999999996</v>
      </c>
      <c r="D78" s="14">
        <v>717.89</v>
      </c>
      <c r="E78" s="14">
        <v>584.43000000000006</v>
      </c>
      <c r="F78" s="14">
        <v>40.549999999999997</v>
      </c>
      <c r="G78" s="14"/>
      <c r="H78" s="14">
        <v>8.73</v>
      </c>
      <c r="I78" s="14">
        <v>0.78</v>
      </c>
      <c r="J78" s="14"/>
      <c r="K78" s="14"/>
      <c r="L78" s="14">
        <v>33.69</v>
      </c>
      <c r="M78" s="14">
        <v>393.96</v>
      </c>
      <c r="N78" s="14">
        <v>6445.329999999999</v>
      </c>
    </row>
    <row r="79" spans="1:18" x14ac:dyDescent="0.25">
      <c r="A79" s="106" t="s">
        <v>54</v>
      </c>
      <c r="B79" s="108"/>
      <c r="C79" s="108"/>
      <c r="D79" s="108"/>
      <c r="E79" s="108">
        <f t="shared" ref="E79:N79" si="8">E80</f>
        <v>10.82</v>
      </c>
      <c r="F79" s="108"/>
      <c r="G79" s="108">
        <f t="shared" si="8"/>
        <v>0.14000000000000001</v>
      </c>
      <c r="H79" s="108"/>
      <c r="I79" s="108"/>
      <c r="J79" s="108"/>
      <c r="K79" s="108"/>
      <c r="L79" s="108">
        <f t="shared" si="8"/>
        <v>0.02</v>
      </c>
      <c r="M79" s="108"/>
      <c r="N79" s="108">
        <f t="shared" si="8"/>
        <v>10.98</v>
      </c>
    </row>
    <row r="80" spans="1:18" x14ac:dyDescent="0.25">
      <c r="A80" s="13" t="s">
        <v>44</v>
      </c>
      <c r="B80" s="14"/>
      <c r="C80" s="14"/>
      <c r="D80" s="14"/>
      <c r="E80" s="14">
        <v>10.82</v>
      </c>
      <c r="F80" s="14"/>
      <c r="G80" s="14">
        <v>0.14000000000000001</v>
      </c>
      <c r="H80" s="14"/>
      <c r="I80" s="14"/>
      <c r="J80" s="14"/>
      <c r="K80" s="14"/>
      <c r="L80" s="14">
        <v>0.02</v>
      </c>
      <c r="M80" s="14"/>
      <c r="N80" s="14">
        <v>10.98</v>
      </c>
    </row>
    <row r="81" spans="1:14" x14ac:dyDescent="0.25">
      <c r="A81" s="106" t="s">
        <v>55</v>
      </c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>
        <f>L82</f>
        <v>0.8</v>
      </c>
      <c r="M81" s="108"/>
      <c r="N81" s="108">
        <f>N82</f>
        <v>0.8</v>
      </c>
    </row>
    <row r="82" spans="1:14" x14ac:dyDescent="0.25">
      <c r="A82" s="13" t="s">
        <v>45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>
        <v>0.8</v>
      </c>
      <c r="M82" s="14"/>
      <c r="N82" s="14">
        <v>0.8</v>
      </c>
    </row>
    <row r="83" spans="1:14" x14ac:dyDescent="0.25">
      <c r="A83" s="106" t="s">
        <v>57</v>
      </c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>
        <f>L84</f>
        <v>0.03</v>
      </c>
      <c r="M83" s="108"/>
      <c r="N83" s="108">
        <f>N84</f>
        <v>0.03</v>
      </c>
    </row>
    <row r="84" spans="1:14" x14ac:dyDescent="0.25">
      <c r="A84" s="13" t="s">
        <v>47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>
        <v>0.03</v>
      </c>
      <c r="M84" s="14"/>
      <c r="N84" s="14">
        <v>0.03</v>
      </c>
    </row>
    <row r="85" spans="1:14" x14ac:dyDescent="0.25">
      <c r="A85" s="107" t="s">
        <v>59</v>
      </c>
      <c r="B85" s="110">
        <f>SUM(B83+B81+B79+B74+B71+B67+B63+B59+B57)</f>
        <v>3071.7099999999996</v>
      </c>
      <c r="C85" s="110">
        <f t="shared" ref="C85:M85" si="9">SUM(C83+C81+C79+C74+C71+C67+C63+C59+C57)</f>
        <v>2015.8299999999995</v>
      </c>
      <c r="D85" s="110">
        <f t="shared" si="9"/>
        <v>718.87</v>
      </c>
      <c r="E85" s="110">
        <f t="shared" si="9"/>
        <v>605.87000000000012</v>
      </c>
      <c r="F85" s="110">
        <f t="shared" si="9"/>
        <v>40.549999999999997</v>
      </c>
      <c r="G85" s="110">
        <f t="shared" si="9"/>
        <v>10.02</v>
      </c>
      <c r="H85" s="110">
        <f t="shared" si="9"/>
        <v>8.73</v>
      </c>
      <c r="I85" s="110">
        <f t="shared" si="9"/>
        <v>0.78</v>
      </c>
      <c r="J85" s="110">
        <f t="shared" si="9"/>
        <v>1.1299999999999999</v>
      </c>
      <c r="K85" s="110">
        <f t="shared" si="9"/>
        <v>0.83000000000000007</v>
      </c>
      <c r="L85" s="110">
        <f t="shared" si="9"/>
        <v>42.79</v>
      </c>
      <c r="M85" s="110">
        <f t="shared" si="9"/>
        <v>395</v>
      </c>
      <c r="N85" s="110">
        <f>SUM(N83+N81+N79+N74+N71+N67+N63+N59+N57)</f>
        <v>6912.15</v>
      </c>
    </row>
  </sheetData>
  <mergeCells count="6">
    <mergeCell ref="P56:R56"/>
    <mergeCell ref="A4:A5"/>
    <mergeCell ref="B4:N4"/>
    <mergeCell ref="A55:A56"/>
    <mergeCell ref="B55:N55"/>
    <mergeCell ref="P10:R10"/>
  </mergeCells>
  <hyperlinks>
    <hyperlink ref="E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25"/>
  <sheetViews>
    <sheetView tabSelected="1" workbookViewId="0">
      <selection activeCell="P38" sqref="P38"/>
    </sheetView>
  </sheetViews>
  <sheetFormatPr baseColWidth="10" defaultRowHeight="15" x14ac:dyDescent="0.25"/>
  <cols>
    <col min="1" max="1" width="20" customWidth="1"/>
    <col min="2" max="2" width="15.42578125" customWidth="1"/>
    <col min="3" max="3" width="16.85546875" customWidth="1"/>
    <col min="4" max="7" width="10.85546875" customWidth="1"/>
    <col min="8" max="8" width="15.85546875" customWidth="1"/>
    <col min="9" max="9" width="18" customWidth="1"/>
    <col min="10" max="10" width="13" customWidth="1"/>
    <col min="11" max="11" width="10.85546875" customWidth="1"/>
    <col min="13" max="13" width="17.28515625" customWidth="1"/>
    <col min="14" max="14" width="14.42578125" customWidth="1"/>
    <col min="15" max="15" width="13.140625" customWidth="1"/>
    <col min="16" max="16" width="17.7109375" customWidth="1"/>
    <col min="18" max="18" width="14.85546875" customWidth="1"/>
    <col min="19" max="19" width="15" customWidth="1"/>
    <col min="21" max="21" width="14.7109375" customWidth="1"/>
  </cols>
  <sheetData>
    <row r="1" spans="1:21" x14ac:dyDescent="0.25">
      <c r="E1" s="2" t="s">
        <v>0</v>
      </c>
      <c r="F1" s="176" t="s">
        <v>1</v>
      </c>
      <c r="G1" s="2" t="s">
        <v>216</v>
      </c>
      <c r="H1" t="s">
        <v>249</v>
      </c>
    </row>
    <row r="2" spans="1:21" x14ac:dyDescent="0.25">
      <c r="E2" s="2"/>
      <c r="F2" s="5"/>
      <c r="G2" s="2"/>
      <c r="H2" t="s">
        <v>272</v>
      </c>
    </row>
    <row r="3" spans="1:21" x14ac:dyDescent="0.25">
      <c r="E3" s="2"/>
      <c r="F3" s="5"/>
      <c r="G3" s="2"/>
      <c r="H3" t="s">
        <v>222</v>
      </c>
    </row>
    <row r="4" spans="1:21" x14ac:dyDescent="0.25">
      <c r="H4" t="s">
        <v>229</v>
      </c>
    </row>
    <row r="5" spans="1:21" ht="18.75" x14ac:dyDescent="0.3">
      <c r="A5" s="305" t="s">
        <v>6</v>
      </c>
      <c r="B5" s="305"/>
      <c r="C5" s="305"/>
      <c r="D5" s="305"/>
      <c r="M5" s="247" t="s">
        <v>276</v>
      </c>
      <c r="R5" s="218" t="s">
        <v>265</v>
      </c>
    </row>
    <row r="6" spans="1:21" ht="42.95" customHeight="1" x14ac:dyDescent="0.25">
      <c r="A6" s="301" t="s">
        <v>2</v>
      </c>
      <c r="B6" s="237" t="s">
        <v>273</v>
      </c>
      <c r="C6" s="240" t="s">
        <v>274</v>
      </c>
      <c r="D6" s="301" t="s">
        <v>235</v>
      </c>
      <c r="E6" s="301"/>
      <c r="F6" s="302" t="s">
        <v>3</v>
      </c>
      <c r="G6" s="302"/>
      <c r="H6" s="302" t="s">
        <v>236</v>
      </c>
      <c r="I6" s="302"/>
      <c r="J6" s="302" t="s">
        <v>237</v>
      </c>
      <c r="K6" s="302"/>
      <c r="N6" s="285" t="s">
        <v>240</v>
      </c>
      <c r="O6" s="285" t="s">
        <v>278</v>
      </c>
      <c r="P6" s="286" t="s">
        <v>269</v>
      </c>
      <c r="S6" s="287" t="s">
        <v>248</v>
      </c>
      <c r="T6" s="287" t="s">
        <v>240</v>
      </c>
      <c r="U6" s="288" t="s">
        <v>279</v>
      </c>
    </row>
    <row r="7" spans="1:21" x14ac:dyDescent="0.25">
      <c r="A7" s="301"/>
      <c r="B7" s="237">
        <v>2020</v>
      </c>
      <c r="C7" s="236">
        <v>2020</v>
      </c>
      <c r="D7" s="236">
        <v>2019</v>
      </c>
      <c r="E7" s="237">
        <v>2020</v>
      </c>
      <c r="F7" s="236">
        <v>2019</v>
      </c>
      <c r="G7" s="236">
        <v>2020</v>
      </c>
      <c r="H7" s="237">
        <v>2019</v>
      </c>
      <c r="I7" s="237">
        <v>2020</v>
      </c>
      <c r="J7" s="236" t="s">
        <v>4</v>
      </c>
      <c r="K7" s="4" t="s">
        <v>5</v>
      </c>
      <c r="M7" s="284" t="s">
        <v>49</v>
      </c>
      <c r="N7" s="162">
        <f>E8</f>
        <v>142515.91999999987</v>
      </c>
      <c r="O7" s="162">
        <v>195215</v>
      </c>
      <c r="P7" s="124">
        <f>N7/O7</f>
        <v>0.73004594933790878</v>
      </c>
      <c r="R7" s="289" t="s">
        <v>49</v>
      </c>
      <c r="S7" s="162">
        <v>137758</v>
      </c>
      <c r="T7" s="162">
        <v>142516</v>
      </c>
      <c r="U7" s="129">
        <f>T7/S7-1</f>
        <v>3.4538828960931411E-2</v>
      </c>
    </row>
    <row r="8" spans="1:21" x14ac:dyDescent="0.25">
      <c r="A8" s="16" t="s">
        <v>49</v>
      </c>
      <c r="B8" s="17">
        <f>SUM(B9:B16)</f>
        <v>142241.58999999988</v>
      </c>
      <c r="C8" s="17">
        <v>274.32999999999993</v>
      </c>
      <c r="D8" s="17">
        <v>137757.95000000001</v>
      </c>
      <c r="E8" s="17">
        <f t="shared" ref="E8:E64" si="0">B8+C8</f>
        <v>142515.91999999987</v>
      </c>
      <c r="F8" s="17">
        <f t="shared" ref="F8:G8" si="1">SUM(F9:F16)</f>
        <v>186454</v>
      </c>
      <c r="G8" s="17">
        <f t="shared" si="1"/>
        <v>195215</v>
      </c>
      <c r="H8" s="25">
        <f>IFERROR(D8/F8,"")</f>
        <v>0.73883075718407765</v>
      </c>
      <c r="I8" s="25">
        <f>IFERROR(E8/G8,"")</f>
        <v>0.73004594933790878</v>
      </c>
      <c r="J8" s="17">
        <f>IFERROR(E8-D8,"")</f>
        <v>4757.9699999998556</v>
      </c>
      <c r="K8" s="25">
        <f>IFERROR((E8/D8)-1,"")</f>
        <v>3.4538623723711526E-2</v>
      </c>
      <c r="M8" s="284" t="s">
        <v>277</v>
      </c>
      <c r="N8" s="162">
        <v>122807</v>
      </c>
      <c r="O8" s="162">
        <v>117640</v>
      </c>
      <c r="P8" s="124">
        <f t="shared" ref="P8:P12" si="2">N8/O8</f>
        <v>1.0439221353281196</v>
      </c>
      <c r="R8" s="289" t="s">
        <v>277</v>
      </c>
      <c r="S8" s="162">
        <v>115405</v>
      </c>
      <c r="T8" s="162">
        <v>122807</v>
      </c>
      <c r="U8" s="129">
        <f t="shared" ref="U8:U12" si="3">T8/S8-1</f>
        <v>6.413933538408223E-2</v>
      </c>
    </row>
    <row r="9" spans="1:21" s="50" customFormat="1" x14ac:dyDescent="0.25">
      <c r="A9" s="156" t="s">
        <v>11</v>
      </c>
      <c r="B9" s="109">
        <v>43405.799999999923</v>
      </c>
      <c r="C9" s="109">
        <v>62</v>
      </c>
      <c r="D9" s="109">
        <v>43020.02</v>
      </c>
      <c r="E9" s="109">
        <f t="shared" si="0"/>
        <v>43467.799999999923</v>
      </c>
      <c r="F9" s="109">
        <v>55205</v>
      </c>
      <c r="G9" s="109">
        <v>56057</v>
      </c>
      <c r="H9" s="74">
        <f t="shared" ref="H9:I64" si="4">IFERROR(D9/F9,"")</f>
        <v>0.77927760166651561</v>
      </c>
      <c r="I9" s="74">
        <f t="shared" si="4"/>
        <v>0.77542144602814855</v>
      </c>
      <c r="J9" s="109">
        <f t="shared" ref="J9:J64" si="5">IFERROR(E9-D9,"")</f>
        <v>447.77999999992608</v>
      </c>
      <c r="K9" s="74">
        <f t="shared" ref="K9:K64" si="6">IFERROR((E9/D9)-1,"")</f>
        <v>1.0408642301884763E-2</v>
      </c>
      <c r="M9" s="284" t="s">
        <v>56</v>
      </c>
      <c r="N9" s="162">
        <v>72261.179999999993</v>
      </c>
      <c r="O9" s="162">
        <v>74126</v>
      </c>
      <c r="P9" s="124">
        <f t="shared" si="2"/>
        <v>0.97484256536168135</v>
      </c>
      <c r="R9" s="289" t="s">
        <v>56</v>
      </c>
      <c r="S9" s="162">
        <v>69810</v>
      </c>
      <c r="T9" s="162">
        <v>72261.179999999993</v>
      </c>
      <c r="U9" s="129">
        <f t="shared" si="3"/>
        <v>3.5112161581435153E-2</v>
      </c>
    </row>
    <row r="10" spans="1:21" x14ac:dyDescent="0.25">
      <c r="A10" s="13" t="s">
        <v>12</v>
      </c>
      <c r="B10" s="14">
        <v>759.7199999999998</v>
      </c>
      <c r="C10" s="14">
        <v>0.13</v>
      </c>
      <c r="D10" s="14">
        <v>528.6</v>
      </c>
      <c r="E10" s="14">
        <f t="shared" si="0"/>
        <v>759.8499999999998</v>
      </c>
      <c r="F10" s="14">
        <v>529</v>
      </c>
      <c r="G10" s="14">
        <v>825</v>
      </c>
      <c r="H10" s="26">
        <f t="shared" si="4"/>
        <v>0.9992438563327033</v>
      </c>
      <c r="I10" s="26">
        <f t="shared" si="4"/>
        <v>0.92103030303030275</v>
      </c>
      <c r="J10" s="14">
        <f t="shared" si="5"/>
        <v>231.24999999999977</v>
      </c>
      <c r="K10" s="26">
        <f t="shared" si="6"/>
        <v>0.43747635262958706</v>
      </c>
      <c r="M10" s="284" t="s">
        <v>50</v>
      </c>
      <c r="N10" s="164">
        <v>58848.249999999956</v>
      </c>
      <c r="O10" s="164">
        <v>63569</v>
      </c>
      <c r="P10" s="124">
        <f t="shared" si="2"/>
        <v>0.92573817426733085</v>
      </c>
      <c r="R10" s="289" t="s">
        <v>50</v>
      </c>
      <c r="S10" s="164">
        <v>56751</v>
      </c>
      <c r="T10" s="164">
        <v>58848.249999999956</v>
      </c>
      <c r="U10" s="129">
        <f t="shared" si="3"/>
        <v>3.695529594192104E-2</v>
      </c>
    </row>
    <row r="11" spans="1:21" x14ac:dyDescent="0.25">
      <c r="A11" s="13" t="s">
        <v>13</v>
      </c>
      <c r="B11" s="14">
        <v>3856.4200000000028</v>
      </c>
      <c r="C11" s="14">
        <v>3.05</v>
      </c>
      <c r="D11" s="14">
        <v>2130.7200000000003</v>
      </c>
      <c r="E11" s="14">
        <f t="shared" si="0"/>
        <v>3859.470000000003</v>
      </c>
      <c r="F11" s="14">
        <v>2204</v>
      </c>
      <c r="G11" s="14">
        <v>3848</v>
      </c>
      <c r="H11" s="26">
        <f t="shared" si="4"/>
        <v>0.9667513611615246</v>
      </c>
      <c r="I11" s="26">
        <f t="shared" si="4"/>
        <v>1.00298076923077</v>
      </c>
      <c r="J11" s="14">
        <f t="shared" si="5"/>
        <v>1728.7500000000027</v>
      </c>
      <c r="K11" s="26">
        <f t="shared" si="6"/>
        <v>0.81134546068934554</v>
      </c>
      <c r="M11" s="284" t="s">
        <v>60</v>
      </c>
      <c r="N11" s="162">
        <v>53322.159999999967</v>
      </c>
      <c r="O11" s="162">
        <v>78761</v>
      </c>
      <c r="P11" s="124">
        <f t="shared" si="2"/>
        <v>0.67701222686354878</v>
      </c>
      <c r="R11" s="289" t="s">
        <v>60</v>
      </c>
      <c r="S11" s="162">
        <v>52273</v>
      </c>
      <c r="T11" s="162">
        <v>53322.159999999967</v>
      </c>
      <c r="U11" s="129">
        <f t="shared" si="3"/>
        <v>2.0070782239396401E-2</v>
      </c>
    </row>
    <row r="12" spans="1:21" x14ac:dyDescent="0.25">
      <c r="A12" s="13" t="s">
        <v>14</v>
      </c>
      <c r="B12" s="14">
        <v>80669.449999999924</v>
      </c>
      <c r="C12" s="14">
        <v>43.48</v>
      </c>
      <c r="D12" s="14">
        <v>78993.920000000027</v>
      </c>
      <c r="E12" s="14">
        <f t="shared" si="0"/>
        <v>80712.92999999992</v>
      </c>
      <c r="F12" s="14">
        <v>102960</v>
      </c>
      <c r="G12" s="14">
        <v>107943</v>
      </c>
      <c r="H12" s="26">
        <f t="shared" si="4"/>
        <v>0.7672292152292155</v>
      </c>
      <c r="I12" s="26">
        <f t="shared" si="4"/>
        <v>0.74773658319668646</v>
      </c>
      <c r="J12" s="14">
        <f t="shared" si="5"/>
        <v>1719.0099999998929</v>
      </c>
      <c r="K12" s="26">
        <f t="shared" si="6"/>
        <v>2.1761295046503593E-2</v>
      </c>
      <c r="M12" s="284" t="s">
        <v>51</v>
      </c>
      <c r="N12" s="162">
        <v>23269.339999999986</v>
      </c>
      <c r="O12" s="162">
        <v>28393</v>
      </c>
      <c r="P12" s="124">
        <f t="shared" si="2"/>
        <v>0.81954495826436047</v>
      </c>
      <c r="R12" s="289" t="s">
        <v>51</v>
      </c>
      <c r="S12" s="162">
        <v>24235</v>
      </c>
      <c r="T12" s="162">
        <v>23269.339999999986</v>
      </c>
      <c r="U12" s="129">
        <f t="shared" si="3"/>
        <v>-3.9845677738808094E-2</v>
      </c>
    </row>
    <row r="13" spans="1:21" x14ac:dyDescent="0.25">
      <c r="A13" s="13" t="s">
        <v>15</v>
      </c>
      <c r="B13" s="14">
        <v>663.32999999999981</v>
      </c>
      <c r="C13" s="14">
        <v>0.12</v>
      </c>
      <c r="D13" s="14">
        <v>655.92</v>
      </c>
      <c r="E13" s="14">
        <f t="shared" si="0"/>
        <v>663.44999999999982</v>
      </c>
      <c r="F13" s="14">
        <v>682</v>
      </c>
      <c r="G13" s="14">
        <v>648</v>
      </c>
      <c r="H13" s="26">
        <f t="shared" si="4"/>
        <v>0.96175953079178877</v>
      </c>
      <c r="I13" s="26">
        <f t="shared" si="4"/>
        <v>1.0238425925925922</v>
      </c>
      <c r="J13" s="14">
        <f t="shared" si="5"/>
        <v>7.529999999999859</v>
      </c>
      <c r="K13" s="26">
        <f t="shared" si="6"/>
        <v>1.1480058543724692E-2</v>
      </c>
    </row>
    <row r="14" spans="1:21" x14ac:dyDescent="0.25">
      <c r="A14" s="13" t="s">
        <v>16</v>
      </c>
      <c r="B14" s="14">
        <v>3011.89</v>
      </c>
      <c r="C14" s="14">
        <v>21.67</v>
      </c>
      <c r="D14" s="14">
        <v>2913.73</v>
      </c>
      <c r="E14" s="14">
        <f t="shared" si="0"/>
        <v>3033.56</v>
      </c>
      <c r="F14" s="14">
        <v>4040</v>
      </c>
      <c r="G14" s="14">
        <v>4389</v>
      </c>
      <c r="H14" s="26">
        <f t="shared" si="4"/>
        <v>0.72122029702970303</v>
      </c>
      <c r="I14" s="26">
        <f t="shared" si="4"/>
        <v>0.69117338801549322</v>
      </c>
      <c r="J14" s="14">
        <f t="shared" si="5"/>
        <v>119.82999999999993</v>
      </c>
      <c r="K14" s="26">
        <f t="shared" si="6"/>
        <v>4.1125979414702085E-2</v>
      </c>
    </row>
    <row r="15" spans="1:21" x14ac:dyDescent="0.25">
      <c r="A15" s="13" t="s">
        <v>17</v>
      </c>
      <c r="B15" s="14">
        <v>6866.2799999999961</v>
      </c>
      <c r="C15" s="14">
        <v>143.85</v>
      </c>
      <c r="D15" s="14">
        <v>6913.7900000000009</v>
      </c>
      <c r="E15" s="14">
        <f t="shared" si="0"/>
        <v>7010.1299999999965</v>
      </c>
      <c r="F15" s="14">
        <v>18222</v>
      </c>
      <c r="G15" s="14">
        <v>18424</v>
      </c>
      <c r="H15" s="26">
        <f t="shared" si="4"/>
        <v>0.3794199319503897</v>
      </c>
      <c r="I15" s="26">
        <f t="shared" si="4"/>
        <v>0.38048903603994771</v>
      </c>
      <c r="J15" s="14">
        <f t="shared" si="5"/>
        <v>96.339999999995598</v>
      </c>
      <c r="K15" s="26">
        <f t="shared" si="6"/>
        <v>1.3934470095272822E-2</v>
      </c>
    </row>
    <row r="16" spans="1:21" x14ac:dyDescent="0.25">
      <c r="A16" s="13" t="s">
        <v>18</v>
      </c>
      <c r="B16" s="14">
        <v>3008.6999999999994</v>
      </c>
      <c r="C16" s="14">
        <v>0.03</v>
      </c>
      <c r="D16" s="14">
        <v>2601.25</v>
      </c>
      <c r="E16" s="14">
        <f t="shared" si="0"/>
        <v>3008.7299999999996</v>
      </c>
      <c r="F16" s="14">
        <v>2612</v>
      </c>
      <c r="G16" s="14">
        <v>3081</v>
      </c>
      <c r="H16" s="26">
        <f t="shared" si="4"/>
        <v>0.99588437978560485</v>
      </c>
      <c r="I16" s="26">
        <f t="shared" si="4"/>
        <v>0.97654333008763372</v>
      </c>
      <c r="J16" s="14">
        <f t="shared" si="5"/>
        <v>407.47999999999956</v>
      </c>
      <c r="K16" s="26">
        <f t="shared" si="6"/>
        <v>0.15664776549735682</v>
      </c>
    </row>
    <row r="17" spans="1:11" x14ac:dyDescent="0.25">
      <c r="A17" s="16" t="s">
        <v>50</v>
      </c>
      <c r="B17" s="17">
        <f>SUM(B18:B20)</f>
        <v>58563.579999999958</v>
      </c>
      <c r="C17" s="17">
        <v>284.67</v>
      </c>
      <c r="D17" s="17">
        <v>56750.740000000005</v>
      </c>
      <c r="E17" s="17">
        <f t="shared" si="0"/>
        <v>58848.249999999956</v>
      </c>
      <c r="F17" s="17">
        <v>61081</v>
      </c>
      <c r="G17" s="17">
        <v>63569</v>
      </c>
      <c r="H17" s="25">
        <f t="shared" si="4"/>
        <v>0.92910626872513558</v>
      </c>
      <c r="I17" s="25">
        <f t="shared" si="4"/>
        <v>0.92573817426733085</v>
      </c>
      <c r="J17" s="17">
        <f t="shared" si="5"/>
        <v>2097.5099999999511</v>
      </c>
      <c r="K17" s="25">
        <f t="shared" si="6"/>
        <v>3.6960046688377046E-2</v>
      </c>
    </row>
    <row r="18" spans="1:11" x14ac:dyDescent="0.25">
      <c r="A18" s="13" t="s">
        <v>19</v>
      </c>
      <c r="B18" s="14">
        <v>9066.2400000000089</v>
      </c>
      <c r="C18" s="14">
        <v>0.39</v>
      </c>
      <c r="D18" s="14">
        <v>8885.7999999999975</v>
      </c>
      <c r="E18" s="14">
        <f t="shared" si="0"/>
        <v>9066.6300000000083</v>
      </c>
      <c r="F18" s="14">
        <v>9850</v>
      </c>
      <c r="G18" s="14">
        <v>11705</v>
      </c>
      <c r="H18" s="26">
        <f t="shared" si="4"/>
        <v>0.90211167512690327</v>
      </c>
      <c r="I18" s="26">
        <f t="shared" si="4"/>
        <v>0.7745946176847508</v>
      </c>
      <c r="J18" s="14">
        <f t="shared" si="5"/>
        <v>180.83000000001084</v>
      </c>
      <c r="K18" s="26">
        <f t="shared" si="6"/>
        <v>2.0350446780257325E-2</v>
      </c>
    </row>
    <row r="19" spans="1:11" x14ac:dyDescent="0.25">
      <c r="A19" s="13" t="s">
        <v>20</v>
      </c>
      <c r="B19" s="14">
        <v>18374.539999999983</v>
      </c>
      <c r="C19" s="14">
        <v>1.28</v>
      </c>
      <c r="D19" s="14">
        <v>17809.34</v>
      </c>
      <c r="E19" s="14">
        <f t="shared" si="0"/>
        <v>18375.819999999982</v>
      </c>
      <c r="F19" s="14">
        <v>20339</v>
      </c>
      <c r="G19" s="14">
        <v>20636</v>
      </c>
      <c r="H19" s="26">
        <f t="shared" si="4"/>
        <v>0.87562515364570526</v>
      </c>
      <c r="I19" s="26">
        <f t="shared" si="4"/>
        <v>0.89047392905601774</v>
      </c>
      <c r="J19" s="14">
        <f t="shared" si="5"/>
        <v>566.47999999998137</v>
      </c>
      <c r="K19" s="26">
        <f t="shared" si="6"/>
        <v>3.1808028820831113E-2</v>
      </c>
    </row>
    <row r="20" spans="1:11" x14ac:dyDescent="0.25">
      <c r="A20" s="13" t="s">
        <v>21</v>
      </c>
      <c r="B20" s="14">
        <v>31122.799999999963</v>
      </c>
      <c r="C20" s="14">
        <v>283</v>
      </c>
      <c r="D20" s="14">
        <v>30055.600000000006</v>
      </c>
      <c r="E20" s="14">
        <f t="shared" si="0"/>
        <v>31405.799999999963</v>
      </c>
      <c r="F20" s="14">
        <v>30892</v>
      </c>
      <c r="G20" s="14">
        <v>31228</v>
      </c>
      <c r="H20" s="26">
        <f t="shared" si="4"/>
        <v>0.97292502913375645</v>
      </c>
      <c r="I20" s="26">
        <f t="shared" si="4"/>
        <v>1.0056936083002421</v>
      </c>
      <c r="J20" s="14">
        <f t="shared" si="5"/>
        <v>1350.1999999999571</v>
      </c>
      <c r="K20" s="26">
        <f t="shared" si="6"/>
        <v>4.4923408616030169E-2</v>
      </c>
    </row>
    <row r="21" spans="1:11" x14ac:dyDescent="0.25">
      <c r="A21" s="16" t="s">
        <v>60</v>
      </c>
      <c r="B21" s="17">
        <v>50904.549999999967</v>
      </c>
      <c r="C21" s="17">
        <v>2417.6099999999997</v>
      </c>
      <c r="D21" s="17">
        <v>52273.040000000008</v>
      </c>
      <c r="E21" s="17">
        <f t="shared" si="0"/>
        <v>53322.159999999967</v>
      </c>
      <c r="F21" s="17">
        <v>78497</v>
      </c>
      <c r="G21" s="17">
        <v>78761</v>
      </c>
      <c r="H21" s="25">
        <f t="shared" si="4"/>
        <v>0.66592404805279193</v>
      </c>
      <c r="I21" s="25">
        <f t="shared" si="4"/>
        <v>0.67701222686354878</v>
      </c>
      <c r="J21" s="17">
        <f t="shared" si="5"/>
        <v>1049.119999999959</v>
      </c>
      <c r="K21" s="25">
        <f t="shared" si="6"/>
        <v>2.0070001668163195E-2</v>
      </c>
    </row>
    <row r="22" spans="1:11" x14ac:dyDescent="0.25">
      <c r="A22" s="13" t="s">
        <v>22</v>
      </c>
      <c r="B22" s="14">
        <v>11662.439999999986</v>
      </c>
      <c r="C22" s="14">
        <v>112.09</v>
      </c>
      <c r="D22" s="14">
        <v>11443.660000000003</v>
      </c>
      <c r="E22" s="14">
        <f t="shared" si="0"/>
        <v>11774.529999999986</v>
      </c>
      <c r="F22" s="14">
        <v>15915</v>
      </c>
      <c r="G22" s="14">
        <v>16010</v>
      </c>
      <c r="H22" s="26">
        <f t="shared" si="4"/>
        <v>0.71904869619855505</v>
      </c>
      <c r="I22" s="26">
        <f t="shared" si="4"/>
        <v>0.73544846970643263</v>
      </c>
      <c r="J22" s="14">
        <f t="shared" si="5"/>
        <v>330.86999999998261</v>
      </c>
      <c r="K22" s="26">
        <f t="shared" si="6"/>
        <v>2.8912952674230219E-2</v>
      </c>
    </row>
    <row r="23" spans="1:11" x14ac:dyDescent="0.25">
      <c r="A23" s="13" t="s">
        <v>23</v>
      </c>
      <c r="B23" s="14">
        <v>16363.689999999999</v>
      </c>
      <c r="C23" s="14">
        <v>1557.34</v>
      </c>
      <c r="D23" s="14">
        <v>17620.05</v>
      </c>
      <c r="E23" s="14">
        <f t="shared" si="0"/>
        <v>17921.03</v>
      </c>
      <c r="F23" s="14">
        <v>33991</v>
      </c>
      <c r="G23" s="14">
        <v>33481</v>
      </c>
      <c r="H23" s="26">
        <f t="shared" si="4"/>
        <v>0.51837398134800383</v>
      </c>
      <c r="I23" s="26">
        <f t="shared" si="4"/>
        <v>0.53525969953107733</v>
      </c>
      <c r="J23" s="14">
        <f t="shared" si="5"/>
        <v>300.97999999999956</v>
      </c>
      <c r="K23" s="26">
        <f t="shared" si="6"/>
        <v>1.7081676839736604E-2</v>
      </c>
    </row>
    <row r="24" spans="1:11" x14ac:dyDescent="0.25">
      <c r="A24" s="13" t="s">
        <v>24</v>
      </c>
      <c r="B24" s="14">
        <v>22878.42</v>
      </c>
      <c r="C24" s="14">
        <v>748.18</v>
      </c>
      <c r="D24" s="14">
        <v>23209.330000000005</v>
      </c>
      <c r="E24" s="14">
        <f t="shared" si="0"/>
        <v>23626.6</v>
      </c>
      <c r="F24" s="14">
        <v>28591</v>
      </c>
      <c r="G24" s="14">
        <v>29270</v>
      </c>
      <c r="H24" s="26">
        <f t="shared" si="4"/>
        <v>0.811770487216257</v>
      </c>
      <c r="I24" s="26">
        <f t="shared" si="4"/>
        <v>0.80719508028698317</v>
      </c>
      <c r="J24" s="14">
        <f t="shared" si="5"/>
        <v>417.26999999999316</v>
      </c>
      <c r="K24" s="26">
        <f t="shared" si="6"/>
        <v>1.7978545696924142E-2</v>
      </c>
    </row>
    <row r="25" spans="1:11" x14ac:dyDescent="0.25">
      <c r="A25" s="16" t="s">
        <v>51</v>
      </c>
      <c r="B25" s="17">
        <f>SUM(B26:B29)</f>
        <v>23267.619999999984</v>
      </c>
      <c r="C25" s="17">
        <v>1.72</v>
      </c>
      <c r="D25" s="17">
        <v>24234.630000000005</v>
      </c>
      <c r="E25" s="17">
        <f t="shared" si="0"/>
        <v>23269.339999999986</v>
      </c>
      <c r="F25" s="17">
        <v>29595</v>
      </c>
      <c r="G25" s="17">
        <v>28393</v>
      </c>
      <c r="H25" s="25">
        <f t="shared" si="4"/>
        <v>0.81887582361885469</v>
      </c>
      <c r="I25" s="25">
        <f t="shared" si="4"/>
        <v>0.81954495826436047</v>
      </c>
      <c r="J25" s="17">
        <f t="shared" si="5"/>
        <v>-965.29000000001906</v>
      </c>
      <c r="K25" s="25">
        <f t="shared" si="6"/>
        <v>-3.9831018670391072E-2</v>
      </c>
    </row>
    <row r="26" spans="1:11" x14ac:dyDescent="0.25">
      <c r="A26" s="13" t="s">
        <v>25</v>
      </c>
      <c r="B26" s="14">
        <v>573.20000000000016</v>
      </c>
      <c r="C26" s="14"/>
      <c r="D26" s="14">
        <v>580.83000000000004</v>
      </c>
      <c r="E26" s="14">
        <f t="shared" si="0"/>
        <v>573.20000000000016</v>
      </c>
      <c r="F26" s="14">
        <v>582</v>
      </c>
      <c r="G26" s="14">
        <v>592</v>
      </c>
      <c r="H26" s="26">
        <f t="shared" si="4"/>
        <v>0.99798969072164956</v>
      </c>
      <c r="I26" s="26">
        <f t="shared" si="4"/>
        <v>0.96824324324324351</v>
      </c>
      <c r="J26" s="14">
        <f t="shared" si="5"/>
        <v>-7.6299999999998818</v>
      </c>
      <c r="K26" s="26">
        <f t="shared" si="6"/>
        <v>-1.3136373809892521E-2</v>
      </c>
    </row>
    <row r="27" spans="1:11" x14ac:dyDescent="0.25">
      <c r="A27" s="13" t="s">
        <v>26</v>
      </c>
      <c r="B27" s="14">
        <v>9.75</v>
      </c>
      <c r="C27" s="14"/>
      <c r="D27" s="14">
        <v>8.8500000000000014</v>
      </c>
      <c r="E27" s="14">
        <f t="shared" si="0"/>
        <v>9.75</v>
      </c>
      <c r="F27" s="14">
        <v>6</v>
      </c>
      <c r="G27" s="14">
        <v>5</v>
      </c>
      <c r="H27" s="26">
        <f t="shared" si="4"/>
        <v>1.4750000000000003</v>
      </c>
      <c r="I27" s="26">
        <f t="shared" si="4"/>
        <v>1.95</v>
      </c>
      <c r="J27" s="14">
        <f t="shared" si="5"/>
        <v>0.89999999999999858</v>
      </c>
      <c r="K27" s="26">
        <f t="shared" si="6"/>
        <v>0.10169491525423702</v>
      </c>
    </row>
    <row r="28" spans="1:11" x14ac:dyDescent="0.25">
      <c r="A28" s="13" t="s">
        <v>27</v>
      </c>
      <c r="B28" s="14">
        <v>11165.689999999984</v>
      </c>
      <c r="C28" s="14"/>
      <c r="D28" s="14">
        <v>11632.080000000004</v>
      </c>
      <c r="E28" s="14">
        <f t="shared" si="0"/>
        <v>11165.689999999984</v>
      </c>
      <c r="F28" s="14">
        <v>12922</v>
      </c>
      <c r="G28" s="14">
        <v>12389</v>
      </c>
      <c r="H28" s="26">
        <f t="shared" si="4"/>
        <v>0.9001764432750351</v>
      </c>
      <c r="I28" s="26">
        <f t="shared" si="4"/>
        <v>0.90125837436435419</v>
      </c>
      <c r="J28" s="14">
        <f t="shared" si="5"/>
        <v>-466.39000000001943</v>
      </c>
      <c r="K28" s="26">
        <f t="shared" si="6"/>
        <v>-4.0095150652335598E-2</v>
      </c>
    </row>
    <row r="29" spans="1:11" x14ac:dyDescent="0.25">
      <c r="A29" s="13" t="s">
        <v>28</v>
      </c>
      <c r="B29" s="14">
        <v>11518.98</v>
      </c>
      <c r="C29" s="14">
        <v>1.72</v>
      </c>
      <c r="D29" s="14">
        <v>12012.87</v>
      </c>
      <c r="E29" s="14">
        <f t="shared" si="0"/>
        <v>11520.699999999999</v>
      </c>
      <c r="F29" s="14">
        <v>16085</v>
      </c>
      <c r="G29" s="14">
        <v>15407</v>
      </c>
      <c r="H29" s="26">
        <f t="shared" si="4"/>
        <v>0.74683680447622014</v>
      </c>
      <c r="I29" s="26">
        <f t="shared" si="4"/>
        <v>0.7477575128188485</v>
      </c>
      <c r="J29" s="14">
        <f t="shared" si="5"/>
        <v>-492.17000000000189</v>
      </c>
      <c r="K29" s="26">
        <f t="shared" si="6"/>
        <v>-4.0970226099175444E-2</v>
      </c>
    </row>
    <row r="30" spans="1:11" x14ac:dyDescent="0.25">
      <c r="A30" s="16" t="s">
        <v>52</v>
      </c>
      <c r="B30" s="17">
        <v>122629</v>
      </c>
      <c r="C30" s="17">
        <v>178.11</v>
      </c>
      <c r="D30" s="17">
        <v>115404.56</v>
      </c>
      <c r="E30" s="17">
        <f t="shared" si="0"/>
        <v>122807.11</v>
      </c>
      <c r="F30" s="17">
        <v>111447</v>
      </c>
      <c r="G30" s="17">
        <v>117640</v>
      </c>
      <c r="H30" s="25">
        <f t="shared" si="4"/>
        <v>1.0355106911805612</v>
      </c>
      <c r="I30" s="25">
        <f t="shared" si="4"/>
        <v>1.0439230703842231</v>
      </c>
      <c r="J30" s="17">
        <f t="shared" si="5"/>
        <v>7402.5500000000029</v>
      </c>
      <c r="K30" s="25">
        <f t="shared" si="6"/>
        <v>6.4144345769352684E-2</v>
      </c>
    </row>
    <row r="31" spans="1:11" x14ac:dyDescent="0.25">
      <c r="A31" s="13" t="s">
        <v>29</v>
      </c>
      <c r="B31" s="14">
        <v>63183.039999999928</v>
      </c>
      <c r="C31" s="14">
        <v>90.2</v>
      </c>
      <c r="D31" s="14">
        <v>60279.200000000004</v>
      </c>
      <c r="E31" s="14">
        <f t="shared" si="0"/>
        <v>63273.239999999925</v>
      </c>
      <c r="F31" s="14">
        <v>56264</v>
      </c>
      <c r="G31" s="14">
        <v>58161</v>
      </c>
      <c r="H31" s="26">
        <f t="shared" si="4"/>
        <v>1.0713635717332575</v>
      </c>
      <c r="I31" s="26">
        <f t="shared" si="4"/>
        <v>1.0878980760303283</v>
      </c>
      <c r="J31" s="14">
        <f t="shared" si="5"/>
        <v>2994.0399999999208</v>
      </c>
      <c r="K31" s="26">
        <f t="shared" si="6"/>
        <v>4.9669537750997472E-2</v>
      </c>
    </row>
    <row r="32" spans="1:11" x14ac:dyDescent="0.25">
      <c r="A32" s="13" t="s">
        <v>30</v>
      </c>
      <c r="B32" s="14">
        <v>14282.190000000015</v>
      </c>
      <c r="C32" s="14">
        <v>10.15</v>
      </c>
      <c r="D32" s="14">
        <v>12947.070000000002</v>
      </c>
      <c r="E32" s="14">
        <f t="shared" si="0"/>
        <v>14292.340000000015</v>
      </c>
      <c r="F32" s="14">
        <v>12997</v>
      </c>
      <c r="G32" s="14">
        <v>14281</v>
      </c>
      <c r="H32" s="26">
        <f t="shared" si="4"/>
        <v>0.99615834423328475</v>
      </c>
      <c r="I32" s="26">
        <f t="shared" si="4"/>
        <v>1.0007940620404743</v>
      </c>
      <c r="J32" s="14">
        <f t="shared" si="5"/>
        <v>1345.2700000000132</v>
      </c>
      <c r="K32" s="26">
        <f t="shared" si="6"/>
        <v>0.10390536237156467</v>
      </c>
    </row>
    <row r="33" spans="1:11" x14ac:dyDescent="0.25">
      <c r="A33" s="13" t="s">
        <v>31</v>
      </c>
      <c r="B33" s="14">
        <v>25516.089999999993</v>
      </c>
      <c r="C33" s="14">
        <v>46.07</v>
      </c>
      <c r="D33" s="14">
        <v>23865.159999999996</v>
      </c>
      <c r="E33" s="14">
        <f t="shared" si="0"/>
        <v>25562.159999999993</v>
      </c>
      <c r="F33" s="14">
        <v>23848</v>
      </c>
      <c r="G33" s="14">
        <v>25550</v>
      </c>
      <c r="H33" s="26">
        <f t="shared" si="4"/>
        <v>1.0007195571955718</v>
      </c>
      <c r="I33" s="26">
        <f t="shared" si="4"/>
        <v>1.0004759295499019</v>
      </c>
      <c r="J33" s="14">
        <f t="shared" si="5"/>
        <v>1696.9999999999964</v>
      </c>
      <c r="K33" s="26">
        <f t="shared" si="6"/>
        <v>7.1107840886044604E-2</v>
      </c>
    </row>
    <row r="34" spans="1:11" x14ac:dyDescent="0.25">
      <c r="A34" s="13" t="s">
        <v>32</v>
      </c>
      <c r="B34" s="14">
        <v>372.15000000000009</v>
      </c>
      <c r="C34" s="14">
        <v>4.2699999999999996</v>
      </c>
      <c r="D34" s="14">
        <v>277.84999999999997</v>
      </c>
      <c r="E34" s="14">
        <f t="shared" si="0"/>
        <v>376.42000000000007</v>
      </c>
      <c r="F34" s="14">
        <v>267</v>
      </c>
      <c r="G34" s="14">
        <v>372</v>
      </c>
      <c r="H34" s="26">
        <f t="shared" si="4"/>
        <v>1.0406367041198501</v>
      </c>
      <c r="I34" s="26">
        <f t="shared" si="4"/>
        <v>1.0118817204301078</v>
      </c>
      <c r="J34" s="14">
        <f t="shared" si="5"/>
        <v>98.570000000000107</v>
      </c>
      <c r="K34" s="26">
        <f t="shared" si="6"/>
        <v>0.35475976246176044</v>
      </c>
    </row>
    <row r="35" spans="1:11" x14ac:dyDescent="0.25">
      <c r="A35" s="13" t="s">
        <v>33</v>
      </c>
      <c r="B35" s="14">
        <v>19275.099999999984</v>
      </c>
      <c r="C35" s="14">
        <v>27.42</v>
      </c>
      <c r="D35" s="14">
        <v>18035.280000000006</v>
      </c>
      <c r="E35" s="14">
        <f t="shared" si="0"/>
        <v>19302.519999999982</v>
      </c>
      <c r="F35" s="14">
        <v>18071</v>
      </c>
      <c r="G35" s="14">
        <v>19276</v>
      </c>
      <c r="H35" s="26">
        <f t="shared" si="4"/>
        <v>0.99802335233246675</v>
      </c>
      <c r="I35" s="26">
        <f t="shared" si="4"/>
        <v>1.0013758041087353</v>
      </c>
      <c r="J35" s="14">
        <f t="shared" si="5"/>
        <v>1267.2399999999761</v>
      </c>
      <c r="K35" s="26">
        <f t="shared" si="6"/>
        <v>7.0264503794783106E-2</v>
      </c>
    </row>
    <row r="36" spans="1:11" x14ac:dyDescent="0.25">
      <c r="A36" s="16" t="s">
        <v>53</v>
      </c>
      <c r="B36" s="17">
        <v>2383.8999999999996</v>
      </c>
      <c r="C36" s="17"/>
      <c r="D36" s="17">
        <v>2176.92</v>
      </c>
      <c r="E36" s="17">
        <f t="shared" si="0"/>
        <v>2383.8999999999996</v>
      </c>
      <c r="F36" s="17">
        <v>1743</v>
      </c>
      <c r="G36" s="17">
        <v>1755</v>
      </c>
      <c r="H36" s="25">
        <f t="shared" si="4"/>
        <v>1.2489500860585199</v>
      </c>
      <c r="I36" s="25">
        <f t="shared" si="4"/>
        <v>1.3583475783475782</v>
      </c>
      <c r="J36" s="17">
        <f t="shared" si="5"/>
        <v>206.97999999999956</v>
      </c>
      <c r="K36" s="25">
        <f t="shared" si="6"/>
        <v>9.5079286331146484E-2</v>
      </c>
    </row>
    <row r="37" spans="1:11" x14ac:dyDescent="0.25">
      <c r="A37" s="13" t="s">
        <v>34</v>
      </c>
      <c r="B37" s="14">
        <v>48.149999999999991</v>
      </c>
      <c r="C37" s="14"/>
      <c r="D37" s="14">
        <v>33.869999999999997</v>
      </c>
      <c r="E37" s="14">
        <f t="shared" si="0"/>
        <v>48.149999999999991</v>
      </c>
      <c r="F37" s="14">
        <v>41</v>
      </c>
      <c r="G37" s="14">
        <v>48</v>
      </c>
      <c r="H37" s="26">
        <f t="shared" si="4"/>
        <v>0.82609756097560971</v>
      </c>
      <c r="I37" s="26">
        <f t="shared" si="4"/>
        <v>1.0031249999999998</v>
      </c>
      <c r="J37" s="14">
        <f t="shared" si="5"/>
        <v>14.279999999999994</v>
      </c>
      <c r="K37" s="26">
        <f t="shared" si="6"/>
        <v>0.4216120460584587</v>
      </c>
    </row>
    <row r="38" spans="1:11" x14ac:dyDescent="0.25">
      <c r="A38" s="13" t="s">
        <v>35</v>
      </c>
      <c r="B38" s="14">
        <v>139.19999999999999</v>
      </c>
      <c r="C38" s="14"/>
      <c r="D38" s="14">
        <v>137.29</v>
      </c>
      <c r="E38" s="14">
        <f t="shared" si="0"/>
        <v>139.19999999999999</v>
      </c>
      <c r="F38" s="14">
        <v>190</v>
      </c>
      <c r="G38" s="14">
        <v>189</v>
      </c>
      <c r="H38" s="26">
        <f t="shared" si="4"/>
        <v>0.72257894736842099</v>
      </c>
      <c r="I38" s="26">
        <f t="shared" si="4"/>
        <v>0.73650793650793644</v>
      </c>
      <c r="J38" s="14">
        <f t="shared" si="5"/>
        <v>1.9099999999999966</v>
      </c>
      <c r="K38" s="26">
        <f t="shared" si="6"/>
        <v>1.3912156748488558E-2</v>
      </c>
    </row>
    <row r="39" spans="1:11" x14ac:dyDescent="0.25">
      <c r="A39" s="13" t="s">
        <v>36</v>
      </c>
      <c r="B39" s="14">
        <v>72.180000000000007</v>
      </c>
      <c r="C39" s="14"/>
      <c r="D39" s="14">
        <v>46.82</v>
      </c>
      <c r="E39" s="14">
        <f t="shared" si="0"/>
        <v>72.180000000000007</v>
      </c>
      <c r="F39" s="14">
        <v>81</v>
      </c>
      <c r="G39" s="14">
        <v>69</v>
      </c>
      <c r="H39" s="26">
        <f t="shared" si="4"/>
        <v>0.5780246913580247</v>
      </c>
      <c r="I39" s="26">
        <f t="shared" si="4"/>
        <v>1.0460869565217392</v>
      </c>
      <c r="J39" s="14">
        <f t="shared" si="5"/>
        <v>25.360000000000007</v>
      </c>
      <c r="K39" s="26">
        <f t="shared" si="6"/>
        <v>0.54164886800512613</v>
      </c>
    </row>
    <row r="40" spans="1:11" x14ac:dyDescent="0.25">
      <c r="A40" s="13" t="s">
        <v>37</v>
      </c>
      <c r="B40" s="14">
        <v>31.450000000000003</v>
      </c>
      <c r="C40" s="14"/>
      <c r="D40" s="14">
        <v>20.409999999999997</v>
      </c>
      <c r="E40" s="14">
        <f t="shared" si="0"/>
        <v>31.450000000000003</v>
      </c>
      <c r="F40" s="14">
        <v>20</v>
      </c>
      <c r="G40" s="14">
        <v>27</v>
      </c>
      <c r="H40" s="26">
        <f t="shared" si="4"/>
        <v>1.0204999999999997</v>
      </c>
      <c r="I40" s="26">
        <f t="shared" si="4"/>
        <v>1.164814814814815</v>
      </c>
      <c r="J40" s="14">
        <f t="shared" si="5"/>
        <v>11.040000000000006</v>
      </c>
      <c r="K40" s="26">
        <f t="shared" si="6"/>
        <v>0.54091131798138203</v>
      </c>
    </row>
    <row r="41" spans="1:11" x14ac:dyDescent="0.25">
      <c r="A41" s="13" t="s">
        <v>38</v>
      </c>
      <c r="B41" s="14">
        <v>603.67999999999984</v>
      </c>
      <c r="C41" s="14"/>
      <c r="D41" s="14">
        <v>650.93999999999983</v>
      </c>
      <c r="E41" s="14">
        <f t="shared" si="0"/>
        <v>603.67999999999984</v>
      </c>
      <c r="F41" s="14">
        <v>694</v>
      </c>
      <c r="G41" s="14">
        <v>716</v>
      </c>
      <c r="H41" s="26">
        <f t="shared" si="4"/>
        <v>0.93795389048991329</v>
      </c>
      <c r="I41" s="26">
        <f t="shared" si="4"/>
        <v>0.8431284916201115</v>
      </c>
      <c r="J41" s="14">
        <f t="shared" si="5"/>
        <v>-47.259999999999991</v>
      </c>
      <c r="K41" s="26">
        <f t="shared" si="6"/>
        <v>-7.2602697637263014E-2</v>
      </c>
    </row>
    <row r="42" spans="1:11" x14ac:dyDescent="0.25">
      <c r="A42" s="13" t="s">
        <v>39</v>
      </c>
      <c r="B42" s="14">
        <v>9.14</v>
      </c>
      <c r="C42" s="14"/>
      <c r="D42" s="14">
        <v>7.5200000000000005</v>
      </c>
      <c r="E42" s="14">
        <f t="shared" si="0"/>
        <v>9.14</v>
      </c>
      <c r="F42" s="14">
        <v>30</v>
      </c>
      <c r="G42" s="14">
        <v>24</v>
      </c>
      <c r="H42" s="26">
        <f t="shared" si="4"/>
        <v>0.2506666666666667</v>
      </c>
      <c r="I42" s="26">
        <f t="shared" si="4"/>
        <v>0.38083333333333336</v>
      </c>
      <c r="J42" s="14">
        <f t="shared" si="5"/>
        <v>1.62</v>
      </c>
      <c r="K42" s="26">
        <f t="shared" si="6"/>
        <v>0.21542553191489366</v>
      </c>
    </row>
    <row r="43" spans="1:11" x14ac:dyDescent="0.25">
      <c r="A43" s="13" t="s">
        <v>40</v>
      </c>
      <c r="B43" s="14">
        <v>404.66</v>
      </c>
      <c r="C43" s="14"/>
      <c r="D43" s="14">
        <v>416.4500000000001</v>
      </c>
      <c r="E43" s="14">
        <f t="shared" si="0"/>
        <v>404.66</v>
      </c>
      <c r="F43" s="14">
        <v>409</v>
      </c>
      <c r="G43" s="14">
        <v>399</v>
      </c>
      <c r="H43" s="26">
        <f t="shared" si="4"/>
        <v>1.0182151589242057</v>
      </c>
      <c r="I43" s="26">
        <f t="shared" si="4"/>
        <v>1.0141854636591479</v>
      </c>
      <c r="J43" s="14">
        <f t="shared" si="5"/>
        <v>-11.790000000000077</v>
      </c>
      <c r="K43" s="26">
        <f t="shared" si="6"/>
        <v>-2.83107215752193E-2</v>
      </c>
    </row>
    <row r="44" spans="1:11" x14ac:dyDescent="0.25">
      <c r="A44" s="13" t="s">
        <v>41</v>
      </c>
      <c r="B44" s="14">
        <v>566.66</v>
      </c>
      <c r="C44" s="14"/>
      <c r="D44" s="14">
        <v>411.29</v>
      </c>
      <c r="E44" s="14">
        <f t="shared" si="0"/>
        <v>566.66</v>
      </c>
      <c r="F44" s="14">
        <v>139</v>
      </c>
      <c r="G44" s="14">
        <v>144</v>
      </c>
      <c r="H44" s="26">
        <f t="shared" si="4"/>
        <v>2.9589208633093524</v>
      </c>
      <c r="I44" s="26">
        <f t="shared" si="4"/>
        <v>3.9351388888888885</v>
      </c>
      <c r="J44" s="14">
        <f t="shared" si="5"/>
        <v>155.36999999999995</v>
      </c>
      <c r="K44" s="26">
        <f t="shared" si="6"/>
        <v>0.37776264922560698</v>
      </c>
    </row>
    <row r="45" spans="1:11" x14ac:dyDescent="0.25">
      <c r="A45" s="13" t="s">
        <v>42</v>
      </c>
      <c r="B45" s="14">
        <v>508.78000000000009</v>
      </c>
      <c r="C45" s="14"/>
      <c r="D45" s="14">
        <v>452.33000000000004</v>
      </c>
      <c r="E45" s="14">
        <f t="shared" si="0"/>
        <v>508.78000000000009</v>
      </c>
      <c r="F45" s="14">
        <v>139</v>
      </c>
      <c r="G45" s="14">
        <v>139</v>
      </c>
      <c r="H45" s="26">
        <f t="shared" si="4"/>
        <v>3.2541726618705038</v>
      </c>
      <c r="I45" s="26">
        <f t="shared" si="4"/>
        <v>3.6602877697841731</v>
      </c>
      <c r="J45" s="14">
        <f t="shared" si="5"/>
        <v>56.450000000000045</v>
      </c>
      <c r="K45" s="26">
        <f t="shared" si="6"/>
        <v>0.12479826675215011</v>
      </c>
    </row>
    <row r="46" spans="1:11" x14ac:dyDescent="0.25">
      <c r="A46" s="16" t="s">
        <v>54</v>
      </c>
      <c r="B46" s="17">
        <v>4342</v>
      </c>
      <c r="C46" s="17"/>
      <c r="D46" s="17">
        <v>4617.84</v>
      </c>
      <c r="E46" s="17">
        <f t="shared" si="0"/>
        <v>4342</v>
      </c>
      <c r="F46" s="17">
        <v>4887</v>
      </c>
      <c r="G46" s="17">
        <v>5171</v>
      </c>
      <c r="H46" s="25">
        <f t="shared" si="4"/>
        <v>0.94492326580724373</v>
      </c>
      <c r="I46" s="25">
        <f t="shared" si="4"/>
        <v>0.83968284664474957</v>
      </c>
      <c r="J46" s="17">
        <f t="shared" si="5"/>
        <v>-275.84000000000015</v>
      </c>
      <c r="K46" s="25">
        <f t="shared" si="6"/>
        <v>-5.973355508202971E-2</v>
      </c>
    </row>
    <row r="47" spans="1:11" x14ac:dyDescent="0.25">
      <c r="A47" s="13" t="s">
        <v>43</v>
      </c>
      <c r="B47" s="14">
        <v>3931</v>
      </c>
      <c r="C47" s="14"/>
      <c r="D47" s="14">
        <v>4224.99</v>
      </c>
      <c r="E47" s="14">
        <f t="shared" si="0"/>
        <v>3931</v>
      </c>
      <c r="F47" s="14">
        <v>4371</v>
      </c>
      <c r="G47" s="14">
        <v>4671</v>
      </c>
      <c r="H47" s="26">
        <f t="shared" si="4"/>
        <v>0.96659574468085097</v>
      </c>
      <c r="I47" s="26">
        <f t="shared" si="4"/>
        <v>0.84157567972596869</v>
      </c>
      <c r="J47" s="14">
        <f t="shared" si="5"/>
        <v>-293.98999999999978</v>
      </c>
      <c r="K47" s="26">
        <f t="shared" si="6"/>
        <v>-6.9583596647565971E-2</v>
      </c>
    </row>
    <row r="48" spans="1:11" x14ac:dyDescent="0.25">
      <c r="A48" s="13" t="s">
        <v>44</v>
      </c>
      <c r="B48" s="14">
        <v>411</v>
      </c>
      <c r="C48" s="14"/>
      <c r="D48" s="14">
        <v>392.84999999999991</v>
      </c>
      <c r="E48" s="14">
        <f t="shared" si="0"/>
        <v>411</v>
      </c>
      <c r="F48" s="14">
        <v>516</v>
      </c>
      <c r="G48" s="14">
        <v>500</v>
      </c>
      <c r="H48" s="26">
        <f t="shared" si="4"/>
        <v>0.7613372093023254</v>
      </c>
      <c r="I48" s="26">
        <f t="shared" si="4"/>
        <v>0.82199999999999995</v>
      </c>
      <c r="J48" s="14">
        <f t="shared" si="5"/>
        <v>18.150000000000091</v>
      </c>
      <c r="K48" s="26">
        <f t="shared" si="6"/>
        <v>4.6200840015273137E-2</v>
      </c>
    </row>
    <row r="49" spans="1:11" x14ac:dyDescent="0.25">
      <c r="A49" s="16" t="s">
        <v>75</v>
      </c>
      <c r="B49" s="17">
        <v>2041.82</v>
      </c>
      <c r="C49" s="17">
        <v>8251.3700000000008</v>
      </c>
      <c r="D49" s="17">
        <v>11942.519999999999</v>
      </c>
      <c r="E49" s="17">
        <f t="shared" si="0"/>
        <v>10293.19</v>
      </c>
      <c r="F49" s="17">
        <v>23717</v>
      </c>
      <c r="G49" s="17">
        <v>23717</v>
      </c>
      <c r="H49" s="25">
        <f t="shared" si="4"/>
        <v>0.50354260656912753</v>
      </c>
      <c r="I49" s="25">
        <f t="shared" si="4"/>
        <v>0.43400050596618461</v>
      </c>
      <c r="J49" s="17">
        <f t="shared" si="5"/>
        <v>-1649.3299999999981</v>
      </c>
      <c r="K49" s="25">
        <f t="shared" si="6"/>
        <v>-0.13810569293582919</v>
      </c>
    </row>
    <row r="50" spans="1:11" x14ac:dyDescent="0.25">
      <c r="A50" s="13" t="s">
        <v>230</v>
      </c>
      <c r="B50" s="14">
        <v>2041.82</v>
      </c>
      <c r="C50" s="14">
        <v>8251.3700000000008</v>
      </c>
      <c r="D50" s="14">
        <v>11942.519999999999</v>
      </c>
      <c r="E50" s="14">
        <f t="shared" si="0"/>
        <v>10293.19</v>
      </c>
      <c r="F50" s="14">
        <v>23717</v>
      </c>
      <c r="G50" s="14">
        <v>23717</v>
      </c>
      <c r="H50" s="26">
        <f t="shared" si="4"/>
        <v>0.50354260656912753</v>
      </c>
      <c r="I50" s="26">
        <f t="shared" si="4"/>
        <v>0.43400050596618461</v>
      </c>
      <c r="J50" s="14">
        <f t="shared" si="5"/>
        <v>-1649.3299999999981</v>
      </c>
      <c r="K50" s="26">
        <f t="shared" si="6"/>
        <v>-0.13810569293582919</v>
      </c>
    </row>
    <row r="51" spans="1:11" x14ac:dyDescent="0.25">
      <c r="A51" s="16" t="s">
        <v>79</v>
      </c>
      <c r="B51" s="17"/>
      <c r="C51" s="17"/>
      <c r="D51" s="241"/>
      <c r="E51" s="17">
        <f t="shared" si="0"/>
        <v>0</v>
      </c>
      <c r="F51" s="17">
        <v>189</v>
      </c>
      <c r="G51" s="17">
        <v>183</v>
      </c>
      <c r="H51" s="25">
        <f t="shared" si="4"/>
        <v>0</v>
      </c>
      <c r="I51" s="25">
        <f t="shared" si="4"/>
        <v>0</v>
      </c>
      <c r="J51" s="17">
        <f t="shared" si="5"/>
        <v>0</v>
      </c>
      <c r="K51" s="25" t="str">
        <f t="shared" si="6"/>
        <v/>
      </c>
    </row>
    <row r="52" spans="1:11" x14ac:dyDescent="0.25">
      <c r="A52" s="15" t="s">
        <v>82</v>
      </c>
      <c r="B52" s="14"/>
      <c r="C52" s="14"/>
      <c r="D52" s="14"/>
      <c r="E52" s="14">
        <f t="shared" si="0"/>
        <v>0</v>
      </c>
      <c r="F52" s="14">
        <v>46</v>
      </c>
      <c r="G52" s="14">
        <v>45</v>
      </c>
      <c r="H52" s="26">
        <f t="shared" si="4"/>
        <v>0</v>
      </c>
      <c r="I52" s="26">
        <f t="shared" si="4"/>
        <v>0</v>
      </c>
      <c r="J52" s="14">
        <f t="shared" si="5"/>
        <v>0</v>
      </c>
      <c r="K52" s="26" t="str">
        <f t="shared" si="6"/>
        <v/>
      </c>
    </row>
    <row r="53" spans="1:11" x14ac:dyDescent="0.25">
      <c r="A53" s="15" t="s">
        <v>83</v>
      </c>
      <c r="B53" s="14"/>
      <c r="C53" s="14"/>
      <c r="D53" s="14"/>
      <c r="E53" s="14">
        <f t="shared" si="0"/>
        <v>0</v>
      </c>
      <c r="F53" s="14">
        <v>143</v>
      </c>
      <c r="G53" s="14">
        <v>138</v>
      </c>
      <c r="H53" s="26">
        <f t="shared" si="4"/>
        <v>0</v>
      </c>
      <c r="I53" s="26">
        <f t="shared" si="4"/>
        <v>0</v>
      </c>
      <c r="J53" s="14">
        <f t="shared" si="5"/>
        <v>0</v>
      </c>
      <c r="K53" s="26" t="str">
        <f t="shared" si="6"/>
        <v/>
      </c>
    </row>
    <row r="54" spans="1:11" x14ac:dyDescent="0.25">
      <c r="A54" s="16" t="s">
        <v>55</v>
      </c>
      <c r="B54" s="17">
        <v>5319.62</v>
      </c>
      <c r="C54" s="17">
        <v>13.099999999999998</v>
      </c>
      <c r="D54" s="17">
        <v>5094.95</v>
      </c>
      <c r="E54" s="17">
        <f t="shared" si="0"/>
        <v>5332.72</v>
      </c>
      <c r="F54" s="17">
        <v>9060</v>
      </c>
      <c r="G54" s="17">
        <v>8924</v>
      </c>
      <c r="H54" s="25">
        <f t="shared" si="4"/>
        <v>0.56235651214128035</v>
      </c>
      <c r="I54" s="25">
        <f t="shared" si="4"/>
        <v>0.59757059614522634</v>
      </c>
      <c r="J54" s="17">
        <f t="shared" si="5"/>
        <v>237.77000000000044</v>
      </c>
      <c r="K54" s="25">
        <f t="shared" si="6"/>
        <v>4.666777887908613E-2</v>
      </c>
    </row>
    <row r="55" spans="1:11" x14ac:dyDescent="0.25">
      <c r="A55" s="13" t="s">
        <v>45</v>
      </c>
      <c r="B55" s="14">
        <v>5319.6200000000026</v>
      </c>
      <c r="C55" s="14">
        <v>13.099999999999998</v>
      </c>
      <c r="D55" s="14">
        <v>5094.95</v>
      </c>
      <c r="E55" s="14">
        <f t="shared" si="0"/>
        <v>5332.720000000003</v>
      </c>
      <c r="F55" s="14">
        <v>9060</v>
      </c>
      <c r="G55" s="14">
        <v>8924</v>
      </c>
      <c r="H55" s="26">
        <f t="shared" si="4"/>
        <v>0.56235651214128035</v>
      </c>
      <c r="I55" s="26">
        <f t="shared" si="4"/>
        <v>0.59757059614522667</v>
      </c>
      <c r="J55" s="14">
        <f t="shared" si="5"/>
        <v>237.77000000000317</v>
      </c>
      <c r="K55" s="26">
        <f t="shared" si="6"/>
        <v>4.6667778879086796E-2</v>
      </c>
    </row>
    <row r="56" spans="1:11" x14ac:dyDescent="0.25">
      <c r="A56" s="16" t="s">
        <v>80</v>
      </c>
      <c r="B56" s="17">
        <v>298</v>
      </c>
      <c r="C56" s="17">
        <v>24</v>
      </c>
      <c r="D56" s="17">
        <v>269.32</v>
      </c>
      <c r="E56" s="17">
        <f t="shared" si="0"/>
        <v>322</v>
      </c>
      <c r="F56" s="17">
        <v>459</v>
      </c>
      <c r="G56" s="17">
        <v>650</v>
      </c>
      <c r="H56" s="25">
        <f t="shared" si="4"/>
        <v>0.58675381263616555</v>
      </c>
      <c r="I56" s="25">
        <f t="shared" si="4"/>
        <v>0.49538461538461537</v>
      </c>
      <c r="J56" s="17">
        <f t="shared" si="5"/>
        <v>52.680000000000007</v>
      </c>
      <c r="K56" s="25">
        <f t="shared" si="6"/>
        <v>0.19560374275954251</v>
      </c>
    </row>
    <row r="57" spans="1:11" x14ac:dyDescent="0.25">
      <c r="A57" s="13" t="s">
        <v>81</v>
      </c>
      <c r="B57" s="14">
        <v>298.31000000000006</v>
      </c>
      <c r="C57" s="14">
        <v>24</v>
      </c>
      <c r="D57" s="14">
        <v>269.32</v>
      </c>
      <c r="E57" s="14">
        <f t="shared" si="0"/>
        <v>322.31000000000006</v>
      </c>
      <c r="F57" s="14">
        <v>459</v>
      </c>
      <c r="G57" s="14">
        <v>650</v>
      </c>
      <c r="H57" s="26">
        <f t="shared" si="4"/>
        <v>0.58675381263616555</v>
      </c>
      <c r="I57" s="26">
        <f t="shared" si="4"/>
        <v>0.49586153846153858</v>
      </c>
      <c r="J57" s="14">
        <f t="shared" si="5"/>
        <v>52.990000000000066</v>
      </c>
      <c r="K57" s="26">
        <f t="shared" si="6"/>
        <v>0.19675478984108152</v>
      </c>
    </row>
    <row r="58" spans="1:11" x14ac:dyDescent="0.25">
      <c r="A58" s="16" t="s">
        <v>56</v>
      </c>
      <c r="B58" s="17">
        <v>72261</v>
      </c>
      <c r="C58" s="17"/>
      <c r="D58" s="17">
        <v>69809.850000000006</v>
      </c>
      <c r="E58" s="17">
        <f t="shared" si="0"/>
        <v>72261</v>
      </c>
      <c r="F58" s="17">
        <v>72997</v>
      </c>
      <c r="G58" s="17">
        <v>74126</v>
      </c>
      <c r="H58" s="25">
        <f t="shared" si="4"/>
        <v>0.95633861665547903</v>
      </c>
      <c r="I58" s="25">
        <f t="shared" si="4"/>
        <v>0.97484013706391814</v>
      </c>
      <c r="J58" s="17">
        <f t="shared" si="5"/>
        <v>2451.1499999999942</v>
      </c>
      <c r="K58" s="25">
        <f t="shared" si="6"/>
        <v>3.5111807287939945E-2</v>
      </c>
    </row>
    <row r="59" spans="1:11" x14ac:dyDescent="0.25">
      <c r="A59" s="13" t="s">
        <v>46</v>
      </c>
      <c r="B59" s="14">
        <v>72260.60000000002</v>
      </c>
      <c r="C59" s="14"/>
      <c r="D59" s="14">
        <v>69809.850000000006</v>
      </c>
      <c r="E59" s="14">
        <f t="shared" si="0"/>
        <v>72260.60000000002</v>
      </c>
      <c r="F59" s="14">
        <v>72997</v>
      </c>
      <c r="G59" s="14">
        <v>74126</v>
      </c>
      <c r="H59" s="26">
        <f t="shared" si="4"/>
        <v>0.95633861665547903</v>
      </c>
      <c r="I59" s="26">
        <f t="shared" si="4"/>
        <v>0.97483474084666677</v>
      </c>
      <c r="J59" s="14">
        <f t="shared" si="5"/>
        <v>2450.7500000000146</v>
      </c>
      <c r="K59" s="26">
        <f t="shared" si="6"/>
        <v>3.5106077437496497E-2</v>
      </c>
    </row>
    <row r="60" spans="1:11" x14ac:dyDescent="0.25">
      <c r="A60" s="16" t="s">
        <v>57</v>
      </c>
      <c r="B60" s="17">
        <v>1332.4499999999989</v>
      </c>
      <c r="C60" s="17">
        <v>6</v>
      </c>
      <c r="D60" s="17">
        <v>1295.1199999999999</v>
      </c>
      <c r="E60" s="17">
        <f t="shared" si="0"/>
        <v>1338.4499999999989</v>
      </c>
      <c r="F60" s="17">
        <v>1973</v>
      </c>
      <c r="G60" s="17">
        <v>2159</v>
      </c>
      <c r="H60" s="25">
        <f t="shared" si="4"/>
        <v>0.65642169285352248</v>
      </c>
      <c r="I60" s="25">
        <f t="shared" si="4"/>
        <v>0.61993978693839691</v>
      </c>
      <c r="J60" s="17">
        <f t="shared" si="5"/>
        <v>43.329999999999018</v>
      </c>
      <c r="K60" s="25">
        <f t="shared" si="6"/>
        <v>3.3456359256284429E-2</v>
      </c>
    </row>
    <row r="61" spans="1:11" x14ac:dyDescent="0.25">
      <c r="A61" s="13" t="s">
        <v>47</v>
      </c>
      <c r="B61" s="14">
        <v>1332.4499999999994</v>
      </c>
      <c r="C61" s="14">
        <v>6</v>
      </c>
      <c r="D61" s="14">
        <v>1295.1199999999999</v>
      </c>
      <c r="E61" s="14">
        <f t="shared" si="0"/>
        <v>1338.4499999999994</v>
      </c>
      <c r="F61" s="14">
        <v>1973</v>
      </c>
      <c r="G61" s="14">
        <v>2159</v>
      </c>
      <c r="H61" s="26">
        <f t="shared" si="4"/>
        <v>0.65642169285352248</v>
      </c>
      <c r="I61" s="26">
        <f t="shared" si="4"/>
        <v>0.61993978693839713</v>
      </c>
      <c r="J61" s="14">
        <f t="shared" si="5"/>
        <v>43.329999999999472</v>
      </c>
      <c r="K61" s="26">
        <f t="shared" si="6"/>
        <v>3.3456359256284651E-2</v>
      </c>
    </row>
    <row r="62" spans="1:11" x14ac:dyDescent="0.25">
      <c r="A62" s="16" t="s">
        <v>58</v>
      </c>
      <c r="B62" s="17">
        <v>11.720000000000002</v>
      </c>
      <c r="C62" s="17">
        <v>0.02</v>
      </c>
      <c r="D62" s="17">
        <v>10.649999999999999</v>
      </c>
      <c r="E62" s="17">
        <f t="shared" si="0"/>
        <v>11.740000000000002</v>
      </c>
      <c r="F62" s="17">
        <v>75</v>
      </c>
      <c r="G62" s="17">
        <v>75</v>
      </c>
      <c r="H62" s="25">
        <f t="shared" si="4"/>
        <v>0.14199999999999999</v>
      </c>
      <c r="I62" s="25">
        <f t="shared" si="4"/>
        <v>0.15653333333333336</v>
      </c>
      <c r="J62" s="17">
        <f t="shared" si="5"/>
        <v>1.0900000000000034</v>
      </c>
      <c r="K62" s="25">
        <f t="shared" si="6"/>
        <v>0.10234741784037582</v>
      </c>
    </row>
    <row r="63" spans="1:11" x14ac:dyDescent="0.25">
      <c r="A63" s="13" t="s">
        <v>48</v>
      </c>
      <c r="B63" s="14">
        <v>11.72</v>
      </c>
      <c r="C63" s="14">
        <v>0.02</v>
      </c>
      <c r="D63" s="14">
        <v>10.649999999999999</v>
      </c>
      <c r="E63" s="14">
        <f t="shared" si="0"/>
        <v>11.74</v>
      </c>
      <c r="F63" s="14">
        <v>75</v>
      </c>
      <c r="G63" s="14">
        <v>75</v>
      </c>
      <c r="H63" s="26">
        <f t="shared" si="4"/>
        <v>0.14199999999999999</v>
      </c>
      <c r="I63" s="26">
        <f t="shared" si="4"/>
        <v>0.15653333333333333</v>
      </c>
      <c r="J63" s="14">
        <f t="shared" si="5"/>
        <v>1.0900000000000016</v>
      </c>
      <c r="K63" s="26">
        <f t="shared" si="6"/>
        <v>0.10234741784037582</v>
      </c>
    </row>
    <row r="64" spans="1:11" x14ac:dyDescent="0.25">
      <c r="A64" s="18" t="s">
        <v>59</v>
      </c>
      <c r="B64" s="19">
        <f>B62+B60+B58+B56+B54+B51+B49+B46+B36+B30+B25+B21+B17+B8</f>
        <v>485596.84999999986</v>
      </c>
      <c r="C64" s="19">
        <f t="shared" ref="C64" si="7">C62+C60+C58+C56+C54+C51+C49+C46+C36+C30+C25+C21+C17+C8</f>
        <v>11450.93</v>
      </c>
      <c r="D64" s="19">
        <v>481638.09</v>
      </c>
      <c r="E64" s="19">
        <f t="shared" si="0"/>
        <v>497047.77999999985</v>
      </c>
      <c r="F64" s="19">
        <f t="shared" ref="F64:G64" si="8">F62+F60+F58+F56+F54+F51+F49+F46+F36+F30+F25+F21+F17+F8</f>
        <v>582174</v>
      </c>
      <c r="G64" s="19">
        <f t="shared" si="8"/>
        <v>600338</v>
      </c>
      <c r="H64" s="27">
        <f t="shared" si="4"/>
        <v>0.82730951571179756</v>
      </c>
      <c r="I64" s="27">
        <f t="shared" si="4"/>
        <v>0.82794655677301765</v>
      </c>
      <c r="J64" s="19">
        <f t="shared" si="5"/>
        <v>15409.689999999828</v>
      </c>
      <c r="K64" s="27">
        <f t="shared" si="6"/>
        <v>3.1994334169043404E-2</v>
      </c>
    </row>
    <row r="65" spans="1:21" x14ac:dyDescent="0.25">
      <c r="E65" s="242"/>
      <c r="F65" s="243"/>
    </row>
    <row r="67" spans="1:21" ht="18.75" x14ac:dyDescent="0.3">
      <c r="A67" s="306" t="s">
        <v>275</v>
      </c>
      <c r="B67" s="306"/>
      <c r="C67" s="306"/>
      <c r="D67" s="306"/>
      <c r="F67" s="3"/>
      <c r="G67" s="2"/>
      <c r="H67" s="5"/>
      <c r="M67" s="296" t="s">
        <v>276</v>
      </c>
      <c r="N67" s="297"/>
    </row>
    <row r="68" spans="1:21" ht="48" customHeight="1" x14ac:dyDescent="0.25">
      <c r="A68" s="299" t="s">
        <v>2</v>
      </c>
      <c r="B68" s="239" t="s">
        <v>273</v>
      </c>
      <c r="C68" s="244" t="s">
        <v>274</v>
      </c>
      <c r="D68" s="299" t="s">
        <v>235</v>
      </c>
      <c r="E68" s="299"/>
      <c r="F68" s="300" t="s">
        <v>3</v>
      </c>
      <c r="G68" s="300"/>
      <c r="H68" s="300" t="s">
        <v>236</v>
      </c>
      <c r="I68" s="300"/>
      <c r="J68" s="300" t="s">
        <v>237</v>
      </c>
      <c r="K68" s="300"/>
      <c r="N68" s="290" t="s">
        <v>240</v>
      </c>
      <c r="O68" s="290" t="s">
        <v>278</v>
      </c>
      <c r="P68" s="291" t="s">
        <v>269</v>
      </c>
      <c r="S68" s="294" t="s">
        <v>248</v>
      </c>
      <c r="T68" s="294" t="s">
        <v>240</v>
      </c>
      <c r="U68" s="295" t="s">
        <v>279</v>
      </c>
    </row>
    <row r="69" spans="1:21" x14ac:dyDescent="0.25">
      <c r="A69" s="299"/>
      <c r="B69" s="239">
        <v>2020</v>
      </c>
      <c r="C69" s="238">
        <v>2020</v>
      </c>
      <c r="D69" s="238">
        <v>2019</v>
      </c>
      <c r="E69" s="239">
        <v>2020</v>
      </c>
      <c r="F69" s="238">
        <v>2019</v>
      </c>
      <c r="G69" s="238">
        <v>2020</v>
      </c>
      <c r="H69" s="239">
        <v>2019</v>
      </c>
      <c r="I69" s="239">
        <v>2020</v>
      </c>
      <c r="J69" s="238" t="s">
        <v>4</v>
      </c>
      <c r="K69" s="59" t="s">
        <v>5</v>
      </c>
      <c r="M69" s="292" t="s">
        <v>49</v>
      </c>
      <c r="N69" s="162">
        <v>24837.79</v>
      </c>
      <c r="O69" s="162">
        <v>28927</v>
      </c>
      <c r="P69" s="124">
        <v>0.85863691361012207</v>
      </c>
      <c r="R69" s="293" t="s">
        <v>49</v>
      </c>
      <c r="S69" s="162">
        <v>20318</v>
      </c>
      <c r="T69" s="162">
        <v>24837.79</v>
      </c>
      <c r="U69" s="124">
        <f>T69/S69-1</f>
        <v>0.22245250516783144</v>
      </c>
    </row>
    <row r="70" spans="1:21" x14ac:dyDescent="0.25">
      <c r="A70" s="60" t="s">
        <v>49</v>
      </c>
      <c r="B70" s="61">
        <v>24805.370000000003</v>
      </c>
      <c r="C70" s="245">
        <v>32.42</v>
      </c>
      <c r="D70" s="61">
        <f>SUM(D71:D78)</f>
        <v>20317.920000000002</v>
      </c>
      <c r="E70" s="61">
        <f>B70+C70</f>
        <v>24837.79</v>
      </c>
      <c r="F70" s="61">
        <f t="shared" ref="F70:G70" si="9">SUM(F71:F78)</f>
        <v>25769</v>
      </c>
      <c r="G70" s="61">
        <f t="shared" si="9"/>
        <v>28927</v>
      </c>
      <c r="H70" s="62">
        <f>IFERROR(D70/F70,"")</f>
        <v>0.78846365788350348</v>
      </c>
      <c r="I70" s="62">
        <f>IFERROR(E70/G70,"")</f>
        <v>0.85863691361012207</v>
      </c>
      <c r="J70" s="61">
        <f>IFERROR(E70-D70,"")</f>
        <v>4519.869999999999</v>
      </c>
      <c r="K70" s="62">
        <f>IFERROR((E70/D70)-1,"")</f>
        <v>0.22245731846566974</v>
      </c>
      <c r="M70" s="292" t="s">
        <v>277</v>
      </c>
      <c r="N70" s="162">
        <v>19052.830000000009</v>
      </c>
      <c r="O70" s="162">
        <v>23363</v>
      </c>
      <c r="P70" s="124">
        <v>0.81551299062620419</v>
      </c>
      <c r="R70" s="293" t="s">
        <v>277</v>
      </c>
      <c r="S70" s="162">
        <v>16836</v>
      </c>
      <c r="T70" s="162">
        <v>19052.830000000009</v>
      </c>
      <c r="U70" s="124">
        <f t="shared" ref="U70:U74" si="10">T70/S70-1</f>
        <v>0.13167201235447901</v>
      </c>
    </row>
    <row r="71" spans="1:21" x14ac:dyDescent="0.25">
      <c r="A71" s="13" t="s">
        <v>11</v>
      </c>
      <c r="B71" s="14">
        <v>952.9700000000006</v>
      </c>
      <c r="C71" s="246">
        <v>9.84</v>
      </c>
      <c r="D71" s="14">
        <v>821.44000000000017</v>
      </c>
      <c r="E71" s="14">
        <f t="shared" ref="E71:E123" si="11">B71+C71</f>
        <v>962.81000000000063</v>
      </c>
      <c r="F71" s="14">
        <v>1914</v>
      </c>
      <c r="G71" s="14">
        <v>2031</v>
      </c>
      <c r="H71" s="26">
        <f t="shared" ref="H71:I124" si="12">IFERROR(D71/F71,"")</f>
        <v>0.42917450365726234</v>
      </c>
      <c r="I71" s="26">
        <f t="shared" si="12"/>
        <v>0.47405711472181222</v>
      </c>
      <c r="J71" s="14">
        <f t="shared" ref="J71:J124" si="13">IFERROR(E71-D71,"")</f>
        <v>141.37000000000046</v>
      </c>
      <c r="K71" s="26">
        <f t="shared" ref="K71:K123" si="14">IFERROR((E71/D71)-1,"")</f>
        <v>0.17210021425788913</v>
      </c>
      <c r="M71" s="292" t="s">
        <v>50</v>
      </c>
      <c r="N71" s="164">
        <v>18893.05</v>
      </c>
      <c r="O71" s="164">
        <v>20231</v>
      </c>
      <c r="P71" s="124">
        <v>0.93386634372991939</v>
      </c>
      <c r="R71" s="293" t="s">
        <v>50</v>
      </c>
      <c r="S71" s="164">
        <v>7773</v>
      </c>
      <c r="T71" s="164">
        <v>18893.05</v>
      </c>
      <c r="U71" s="124">
        <f t="shared" si="10"/>
        <v>1.4305995111282646</v>
      </c>
    </row>
    <row r="72" spans="1:21" x14ac:dyDescent="0.25">
      <c r="A72" s="13" t="s">
        <v>12</v>
      </c>
      <c r="B72" s="14">
        <v>643.0200000000001</v>
      </c>
      <c r="C72" s="246"/>
      <c r="D72" s="14">
        <v>446.29000000000008</v>
      </c>
      <c r="E72" s="14">
        <f t="shared" si="11"/>
        <v>643.0200000000001</v>
      </c>
      <c r="F72" s="14">
        <v>446</v>
      </c>
      <c r="G72" s="14">
        <v>685</v>
      </c>
      <c r="H72" s="26">
        <f t="shared" si="12"/>
        <v>1.0006502242152469</v>
      </c>
      <c r="I72" s="26">
        <f t="shared" si="12"/>
        <v>0.93871532846715344</v>
      </c>
      <c r="J72" s="14">
        <f t="shared" si="13"/>
        <v>196.73000000000002</v>
      </c>
      <c r="K72" s="26">
        <f t="shared" si="14"/>
        <v>0.44081202805350772</v>
      </c>
      <c r="M72" s="292" t="s">
        <v>51</v>
      </c>
      <c r="N72" s="162">
        <v>11074.97</v>
      </c>
      <c r="O72" s="162">
        <v>11031</v>
      </c>
      <c r="P72" s="124">
        <v>1.0039860393436677</v>
      </c>
      <c r="R72" s="293" t="s">
        <v>51</v>
      </c>
      <c r="S72" s="162">
        <v>9739</v>
      </c>
      <c r="T72" s="162">
        <v>11074.97</v>
      </c>
      <c r="U72" s="124">
        <f t="shared" si="10"/>
        <v>0.13717732826778928</v>
      </c>
    </row>
    <row r="73" spans="1:21" x14ac:dyDescent="0.25">
      <c r="A73" s="13" t="s">
        <v>13</v>
      </c>
      <c r="B73" s="14">
        <v>5779.5600000000022</v>
      </c>
      <c r="C73" s="246">
        <v>4.2699999999999996</v>
      </c>
      <c r="D73" s="14">
        <v>4340.6000000000004</v>
      </c>
      <c r="E73" s="14">
        <f t="shared" si="11"/>
        <v>5783.8300000000027</v>
      </c>
      <c r="F73" s="14">
        <v>4220</v>
      </c>
      <c r="G73" s="14">
        <v>5967</v>
      </c>
      <c r="H73" s="26">
        <f t="shared" si="12"/>
        <v>1.0285781990521328</v>
      </c>
      <c r="I73" s="26">
        <f t="shared" si="12"/>
        <v>0.96930283224400915</v>
      </c>
      <c r="J73" s="14">
        <f t="shared" si="13"/>
        <v>1443.2300000000023</v>
      </c>
      <c r="K73" s="26">
        <f t="shared" si="14"/>
        <v>0.3324955075335212</v>
      </c>
      <c r="M73" s="292" t="s">
        <v>60</v>
      </c>
      <c r="N73" s="162">
        <v>8162.7999999999947</v>
      </c>
      <c r="O73" s="162">
        <v>14680</v>
      </c>
      <c r="P73" s="124">
        <v>0.55604904632152552</v>
      </c>
      <c r="R73" s="293" t="s">
        <v>60</v>
      </c>
      <c r="S73" s="162">
        <v>7686</v>
      </c>
      <c r="T73" s="162">
        <v>8162.7999999999947</v>
      </c>
      <c r="U73" s="124">
        <f t="shared" si="10"/>
        <v>6.2034868592244941E-2</v>
      </c>
    </row>
    <row r="74" spans="1:21" x14ac:dyDescent="0.25">
      <c r="A74" s="13" t="s">
        <v>14</v>
      </c>
      <c r="B74" s="14">
        <v>6617.7500000000027</v>
      </c>
      <c r="C74" s="246">
        <v>6.92</v>
      </c>
      <c r="D74" s="14">
        <v>6226.76</v>
      </c>
      <c r="E74" s="14">
        <f t="shared" si="11"/>
        <v>6624.6700000000028</v>
      </c>
      <c r="F74" s="14">
        <v>8490</v>
      </c>
      <c r="G74" s="14">
        <v>9160</v>
      </c>
      <c r="H74" s="26">
        <f t="shared" si="12"/>
        <v>0.73342285041224975</v>
      </c>
      <c r="I74" s="26">
        <f t="shared" si="12"/>
        <v>0.72321724890829719</v>
      </c>
      <c r="J74" s="14">
        <f t="shared" si="13"/>
        <v>397.91000000000258</v>
      </c>
      <c r="K74" s="26">
        <f t="shared" si="14"/>
        <v>6.3903217724788242E-2</v>
      </c>
      <c r="M74" s="292" t="s">
        <v>56</v>
      </c>
      <c r="N74" s="162">
        <v>6795.8499999999958</v>
      </c>
      <c r="O74" s="162">
        <v>7034</v>
      </c>
      <c r="P74" s="124">
        <v>0.96614301961899285</v>
      </c>
      <c r="R74" s="293" t="s">
        <v>56</v>
      </c>
      <c r="S74" s="162">
        <v>6643</v>
      </c>
      <c r="T74" s="162">
        <v>6795.8499999999958</v>
      </c>
      <c r="U74" s="124">
        <f t="shared" si="10"/>
        <v>2.3009182598223044E-2</v>
      </c>
    </row>
    <row r="75" spans="1:21" x14ac:dyDescent="0.25">
      <c r="A75" s="13" t="s">
        <v>15</v>
      </c>
      <c r="B75" s="14">
        <v>578.96999999999991</v>
      </c>
      <c r="C75" s="246"/>
      <c r="D75" s="14">
        <v>371.98</v>
      </c>
      <c r="E75" s="14">
        <f t="shared" si="11"/>
        <v>578.96999999999991</v>
      </c>
      <c r="F75" s="14">
        <v>372</v>
      </c>
      <c r="G75" s="14">
        <v>596</v>
      </c>
      <c r="H75" s="26">
        <f t="shared" si="12"/>
        <v>0.99994623655913983</v>
      </c>
      <c r="I75" s="26">
        <f t="shared" si="12"/>
        <v>0.97142617449664415</v>
      </c>
      <c r="J75" s="14">
        <f t="shared" si="13"/>
        <v>206.9899999999999</v>
      </c>
      <c r="K75" s="26">
        <f t="shared" si="14"/>
        <v>0.55645464809935996</v>
      </c>
    </row>
    <row r="76" spans="1:21" x14ac:dyDescent="0.25">
      <c r="A76" s="13" t="s">
        <v>16</v>
      </c>
      <c r="B76" s="14">
        <v>1314.8800000000003</v>
      </c>
      <c r="C76" s="246">
        <v>6.77</v>
      </c>
      <c r="D76" s="14">
        <v>901.85</v>
      </c>
      <c r="E76" s="14">
        <f t="shared" si="11"/>
        <v>1321.6500000000003</v>
      </c>
      <c r="F76" s="14">
        <v>1184</v>
      </c>
      <c r="G76" s="14">
        <v>1351</v>
      </c>
      <c r="H76" s="26">
        <f t="shared" si="12"/>
        <v>0.76169763513513511</v>
      </c>
      <c r="I76" s="26">
        <f t="shared" si="12"/>
        <v>0.97827535159141399</v>
      </c>
      <c r="J76" s="14">
        <f t="shared" si="13"/>
        <v>419.8000000000003</v>
      </c>
      <c r="K76" s="26">
        <f t="shared" si="14"/>
        <v>0.4654876088041251</v>
      </c>
    </row>
    <row r="77" spans="1:21" x14ac:dyDescent="0.25">
      <c r="A77" s="13" t="s">
        <v>17</v>
      </c>
      <c r="B77" s="14">
        <v>244.07000000000005</v>
      </c>
      <c r="C77" s="246">
        <v>3.35</v>
      </c>
      <c r="D77" s="14">
        <v>173.75999999999996</v>
      </c>
      <c r="E77" s="14">
        <f t="shared" si="11"/>
        <v>247.42000000000004</v>
      </c>
      <c r="F77" s="14">
        <v>363</v>
      </c>
      <c r="G77" s="14">
        <v>371</v>
      </c>
      <c r="H77" s="26">
        <f t="shared" si="12"/>
        <v>0.4786776859504131</v>
      </c>
      <c r="I77" s="26">
        <f t="shared" si="12"/>
        <v>0.66690026954177906</v>
      </c>
      <c r="J77" s="14">
        <f t="shared" si="13"/>
        <v>73.660000000000082</v>
      </c>
      <c r="K77" s="26">
        <f t="shared" si="14"/>
        <v>0.42391804788213694</v>
      </c>
    </row>
    <row r="78" spans="1:21" x14ac:dyDescent="0.25">
      <c r="A78" s="13" t="s">
        <v>18</v>
      </c>
      <c r="B78" s="14">
        <v>8674.1499999999978</v>
      </c>
      <c r="C78" s="246">
        <v>1.27</v>
      </c>
      <c r="D78" s="14">
        <v>7035.2400000000007</v>
      </c>
      <c r="E78" s="14">
        <f t="shared" si="11"/>
        <v>8675.4199999999983</v>
      </c>
      <c r="F78" s="14">
        <v>8780</v>
      </c>
      <c r="G78" s="14">
        <v>8766</v>
      </c>
      <c r="H78" s="26">
        <f t="shared" si="12"/>
        <v>0.80128018223234632</v>
      </c>
      <c r="I78" s="26">
        <f t="shared" si="12"/>
        <v>0.98966689482089876</v>
      </c>
      <c r="J78" s="14">
        <f t="shared" si="13"/>
        <v>1640.1799999999976</v>
      </c>
      <c r="K78" s="26">
        <f t="shared" si="14"/>
        <v>0.23313774654453834</v>
      </c>
    </row>
    <row r="79" spans="1:21" x14ac:dyDescent="0.25">
      <c r="A79" s="60" t="s">
        <v>50</v>
      </c>
      <c r="B79" s="61">
        <v>18883.009999999998</v>
      </c>
      <c r="C79" s="245">
        <v>10.039999999999999</v>
      </c>
      <c r="D79" s="61">
        <f>SUM(D80:D82)</f>
        <v>7773.3600000000006</v>
      </c>
      <c r="E79" s="61">
        <f t="shared" si="11"/>
        <v>18893.05</v>
      </c>
      <c r="F79" s="61">
        <f t="shared" ref="F79:G79" si="15">SUM(F80:F82)</f>
        <v>16491</v>
      </c>
      <c r="G79" s="61">
        <f t="shared" si="15"/>
        <v>20231</v>
      </c>
      <c r="H79" s="62">
        <f t="shared" si="12"/>
        <v>0.47136983809350558</v>
      </c>
      <c r="I79" s="62">
        <f t="shared" si="12"/>
        <v>0.93386634372991939</v>
      </c>
      <c r="J79" s="61">
        <f t="shared" si="13"/>
        <v>11119.689999999999</v>
      </c>
      <c r="K79" s="62">
        <f t="shared" si="14"/>
        <v>1.4304869451562769</v>
      </c>
    </row>
    <row r="80" spans="1:21" x14ac:dyDescent="0.25">
      <c r="A80" s="13" t="s">
        <v>19</v>
      </c>
      <c r="B80" s="14">
        <v>5777.8399999999983</v>
      </c>
      <c r="C80" s="246"/>
      <c r="D80" s="14">
        <v>4457.8099999999995</v>
      </c>
      <c r="E80" s="14">
        <f t="shared" si="11"/>
        <v>5777.8399999999983</v>
      </c>
      <c r="F80" s="14">
        <v>4661</v>
      </c>
      <c r="G80" s="14">
        <v>6940</v>
      </c>
      <c r="H80" s="26">
        <f t="shared" si="12"/>
        <v>0.95640635056854739</v>
      </c>
      <c r="I80" s="26">
        <f t="shared" si="12"/>
        <v>0.83254178674351564</v>
      </c>
      <c r="J80" s="14">
        <f t="shared" si="13"/>
        <v>1320.0299999999988</v>
      </c>
      <c r="K80" s="26">
        <f t="shared" si="14"/>
        <v>0.29611625439397349</v>
      </c>
    </row>
    <row r="81" spans="1:11" x14ac:dyDescent="0.25">
      <c r="A81" s="13" t="s">
        <v>20</v>
      </c>
      <c r="B81" s="14">
        <v>1546.25</v>
      </c>
      <c r="C81" s="246"/>
      <c r="D81" s="14">
        <v>1219.0999999999999</v>
      </c>
      <c r="E81" s="14">
        <f t="shared" si="11"/>
        <v>1546.25</v>
      </c>
      <c r="F81" s="14">
        <v>1525</v>
      </c>
      <c r="G81" s="14">
        <v>1774</v>
      </c>
      <c r="H81" s="26">
        <f t="shared" si="12"/>
        <v>0.7994098360655737</v>
      </c>
      <c r="I81" s="26">
        <f t="shared" si="12"/>
        <v>0.87161781285231121</v>
      </c>
      <c r="J81" s="14">
        <f t="shared" si="13"/>
        <v>327.15000000000009</v>
      </c>
      <c r="K81" s="26">
        <f t="shared" si="14"/>
        <v>0.26835370355180066</v>
      </c>
    </row>
    <row r="82" spans="1:11" x14ac:dyDescent="0.25">
      <c r="A82" s="13" t="s">
        <v>21</v>
      </c>
      <c r="B82" s="14">
        <v>11558.92</v>
      </c>
      <c r="C82" s="246">
        <v>10.039999999999999</v>
      </c>
      <c r="D82" s="14">
        <v>2096.4500000000003</v>
      </c>
      <c r="E82" s="14">
        <f t="shared" si="11"/>
        <v>11568.960000000001</v>
      </c>
      <c r="F82" s="14">
        <v>10305</v>
      </c>
      <c r="G82" s="14">
        <v>11517</v>
      </c>
      <c r="H82" s="26">
        <f t="shared" si="12"/>
        <v>0.20344007763221739</v>
      </c>
      <c r="I82" s="26">
        <f t="shared" si="12"/>
        <v>1.0045115915603022</v>
      </c>
      <c r="J82" s="14">
        <f t="shared" si="13"/>
        <v>9472.51</v>
      </c>
      <c r="K82" s="26">
        <f t="shared" si="14"/>
        <v>4.5183572229244673</v>
      </c>
    </row>
    <row r="83" spans="1:11" x14ac:dyDescent="0.25">
      <c r="A83" s="60" t="s">
        <v>60</v>
      </c>
      <c r="B83" s="61">
        <v>8071.9299999999948</v>
      </c>
      <c r="C83" s="245">
        <v>90.87</v>
      </c>
      <c r="D83" s="61">
        <f>SUM(D84:D86)</f>
        <v>7686.1599999999944</v>
      </c>
      <c r="E83" s="61">
        <f t="shared" si="11"/>
        <v>8162.7999999999947</v>
      </c>
      <c r="F83" s="61">
        <f t="shared" ref="F83:G83" si="16">SUM(F84:F86)</f>
        <v>14144</v>
      </c>
      <c r="G83" s="61">
        <f t="shared" si="16"/>
        <v>14680</v>
      </c>
      <c r="H83" s="62">
        <f t="shared" si="12"/>
        <v>0.54342194570135705</v>
      </c>
      <c r="I83" s="62">
        <f t="shared" si="12"/>
        <v>0.55604904632152552</v>
      </c>
      <c r="J83" s="61">
        <f t="shared" si="13"/>
        <v>476.64000000000033</v>
      </c>
      <c r="K83" s="62">
        <f t="shared" si="14"/>
        <v>6.2012760598270322E-2</v>
      </c>
    </row>
    <row r="84" spans="1:11" x14ac:dyDescent="0.25">
      <c r="A84" s="13" t="s">
        <v>22</v>
      </c>
      <c r="B84" s="14">
        <v>4517.7299999999968</v>
      </c>
      <c r="C84" s="246">
        <v>30.71</v>
      </c>
      <c r="D84" s="14">
        <v>4428.2599999999957</v>
      </c>
      <c r="E84" s="14">
        <f t="shared" si="11"/>
        <v>4548.4399999999969</v>
      </c>
      <c r="F84" s="14">
        <v>6641</v>
      </c>
      <c r="G84" s="14">
        <v>6851</v>
      </c>
      <c r="H84" s="26">
        <f t="shared" si="12"/>
        <v>0.66680620388495648</v>
      </c>
      <c r="I84" s="26">
        <f t="shared" si="12"/>
        <v>0.66390891840607169</v>
      </c>
      <c r="J84" s="14">
        <f t="shared" si="13"/>
        <v>120.1800000000012</v>
      </c>
      <c r="K84" s="26">
        <f t="shared" si="14"/>
        <v>2.7139327862411244E-2</v>
      </c>
    </row>
    <row r="85" spans="1:11" x14ac:dyDescent="0.25">
      <c r="A85" s="13" t="s">
        <v>23</v>
      </c>
      <c r="B85" s="14">
        <v>1267.2200000000005</v>
      </c>
      <c r="C85" s="246">
        <v>13.01</v>
      </c>
      <c r="D85" s="14">
        <v>1203.0400000000006</v>
      </c>
      <c r="E85" s="14">
        <f t="shared" si="11"/>
        <v>1280.2300000000005</v>
      </c>
      <c r="F85" s="14">
        <v>2657</v>
      </c>
      <c r="G85" s="14">
        <v>2843</v>
      </c>
      <c r="H85" s="26">
        <f t="shared" si="12"/>
        <v>0.45278133232969536</v>
      </c>
      <c r="I85" s="26">
        <f t="shared" si="12"/>
        <v>0.45030953218431252</v>
      </c>
      <c r="J85" s="14">
        <f t="shared" si="13"/>
        <v>77.189999999999827</v>
      </c>
      <c r="K85" s="26">
        <f t="shared" si="14"/>
        <v>6.4162455113711658E-2</v>
      </c>
    </row>
    <row r="86" spans="1:11" x14ac:dyDescent="0.25">
      <c r="A86" s="13" t="s">
        <v>24</v>
      </c>
      <c r="B86" s="14">
        <v>2286.9799999999977</v>
      </c>
      <c r="C86" s="246">
        <v>47.15</v>
      </c>
      <c r="D86" s="14">
        <v>2054.8599999999979</v>
      </c>
      <c r="E86" s="14">
        <f t="shared" si="11"/>
        <v>2334.1299999999978</v>
      </c>
      <c r="F86" s="14">
        <v>4846</v>
      </c>
      <c r="G86" s="14">
        <v>4986</v>
      </c>
      <c r="H86" s="26">
        <f t="shared" si="12"/>
        <v>0.42403219149814236</v>
      </c>
      <c r="I86" s="26">
        <f t="shared" si="12"/>
        <v>0.46813678299237821</v>
      </c>
      <c r="J86" s="14">
        <f t="shared" si="13"/>
        <v>279.27</v>
      </c>
      <c r="K86" s="26">
        <f t="shared" si="14"/>
        <v>0.13590706909473171</v>
      </c>
    </row>
    <row r="87" spans="1:11" x14ac:dyDescent="0.25">
      <c r="A87" s="60" t="s">
        <v>51</v>
      </c>
      <c r="B87" s="61">
        <v>11074.969999999998</v>
      </c>
      <c r="C87" s="60"/>
      <c r="D87" s="61">
        <f>SUM(D88:D91)</f>
        <v>9738.869999999999</v>
      </c>
      <c r="E87" s="61">
        <f t="shared" si="11"/>
        <v>11074.969999999998</v>
      </c>
      <c r="F87" s="61">
        <f t="shared" ref="F87:G87" si="17">SUM(F88:F91)</f>
        <v>9544</v>
      </c>
      <c r="G87" s="61">
        <f t="shared" si="17"/>
        <v>11031</v>
      </c>
      <c r="H87" s="62">
        <f t="shared" si="12"/>
        <v>1.0204180637049454</v>
      </c>
      <c r="I87" s="62">
        <f t="shared" si="12"/>
        <v>1.0039860393436677</v>
      </c>
      <c r="J87" s="61">
        <f t="shared" si="13"/>
        <v>1336.0999999999985</v>
      </c>
      <c r="K87" s="62">
        <f t="shared" si="14"/>
        <v>0.13719250796036908</v>
      </c>
    </row>
    <row r="88" spans="1:11" x14ac:dyDescent="0.25">
      <c r="A88" s="13" t="s">
        <v>25</v>
      </c>
      <c r="B88" s="14">
        <v>17.37</v>
      </c>
      <c r="C88" s="13"/>
      <c r="D88" s="14">
        <v>16.440000000000001</v>
      </c>
      <c r="E88" s="14">
        <f t="shared" si="11"/>
        <v>17.37</v>
      </c>
      <c r="F88" s="14">
        <v>13</v>
      </c>
      <c r="G88" s="14">
        <v>15</v>
      </c>
      <c r="H88" s="26">
        <f t="shared" si="12"/>
        <v>1.2646153846153847</v>
      </c>
      <c r="I88" s="26">
        <f t="shared" si="12"/>
        <v>1.1580000000000001</v>
      </c>
      <c r="J88" s="14">
        <f t="shared" si="13"/>
        <v>0.92999999999999972</v>
      </c>
      <c r="K88" s="26">
        <f t="shared" si="14"/>
        <v>5.65693430656935E-2</v>
      </c>
    </row>
    <row r="89" spans="1:11" x14ac:dyDescent="0.25">
      <c r="A89" s="13" t="s">
        <v>26</v>
      </c>
      <c r="B89" s="14">
        <v>31.060000000000006</v>
      </c>
      <c r="C89" s="13"/>
      <c r="D89" s="14">
        <v>6.13</v>
      </c>
      <c r="E89" s="14">
        <f t="shared" si="11"/>
        <v>31.060000000000006</v>
      </c>
      <c r="F89" s="14">
        <v>5</v>
      </c>
      <c r="G89" s="14">
        <v>32</v>
      </c>
      <c r="H89" s="26">
        <f t="shared" si="12"/>
        <v>1.226</v>
      </c>
      <c r="I89" s="26">
        <f t="shared" si="12"/>
        <v>0.97062500000000018</v>
      </c>
      <c r="J89" s="14">
        <f t="shared" si="13"/>
        <v>24.930000000000007</v>
      </c>
      <c r="K89" s="26">
        <f t="shared" si="14"/>
        <v>4.0668841761827093</v>
      </c>
    </row>
    <row r="90" spans="1:11" x14ac:dyDescent="0.25">
      <c r="A90" s="13" t="s">
        <v>27</v>
      </c>
      <c r="B90" s="14">
        <v>7321.9099999999944</v>
      </c>
      <c r="C90" s="13"/>
      <c r="D90" s="14">
        <v>6231.2199999999993</v>
      </c>
      <c r="E90" s="14">
        <f t="shared" si="11"/>
        <v>7321.9099999999944</v>
      </c>
      <c r="F90" s="14">
        <v>5883</v>
      </c>
      <c r="G90" s="14">
        <v>6908</v>
      </c>
      <c r="H90" s="26">
        <f t="shared" si="12"/>
        <v>1.0591908890022097</v>
      </c>
      <c r="I90" s="26">
        <f t="shared" si="12"/>
        <v>1.0599174869716264</v>
      </c>
      <c r="J90" s="14">
        <f t="shared" si="13"/>
        <v>1090.6899999999951</v>
      </c>
      <c r="K90" s="26">
        <f t="shared" si="14"/>
        <v>0.17503634922214184</v>
      </c>
    </row>
    <row r="91" spans="1:11" x14ac:dyDescent="0.25">
      <c r="A91" s="13" t="s">
        <v>28</v>
      </c>
      <c r="B91" s="14">
        <v>3704.6300000000037</v>
      </c>
      <c r="C91" s="13"/>
      <c r="D91" s="14">
        <v>3485.08</v>
      </c>
      <c r="E91" s="14">
        <f t="shared" si="11"/>
        <v>3704.6300000000037</v>
      </c>
      <c r="F91" s="14">
        <v>3643</v>
      </c>
      <c r="G91" s="14">
        <v>4076</v>
      </c>
      <c r="H91" s="26">
        <f t="shared" si="12"/>
        <v>0.95665111172110895</v>
      </c>
      <c r="I91" s="26">
        <f t="shared" si="12"/>
        <v>0.90888861629048179</v>
      </c>
      <c r="J91" s="14">
        <f t="shared" si="13"/>
        <v>219.55000000000382</v>
      </c>
      <c r="K91" s="26">
        <f t="shared" si="14"/>
        <v>6.2997119147911729E-2</v>
      </c>
    </row>
    <row r="92" spans="1:11" x14ac:dyDescent="0.25">
      <c r="A92" s="60" t="s">
        <v>52</v>
      </c>
      <c r="B92" s="61">
        <v>19043.380000000008</v>
      </c>
      <c r="C92" s="245">
        <v>9.4499999999999993</v>
      </c>
      <c r="D92" s="61">
        <f>SUM(D93:D97)</f>
        <v>16836.16</v>
      </c>
      <c r="E92" s="61">
        <f t="shared" si="11"/>
        <v>19052.830000000009</v>
      </c>
      <c r="F92" s="61">
        <f t="shared" ref="F92:G92" si="18">SUM(F93:F97)</f>
        <v>21706</v>
      </c>
      <c r="G92" s="61">
        <f t="shared" si="18"/>
        <v>23363</v>
      </c>
      <c r="H92" s="62">
        <f t="shared" si="12"/>
        <v>0.77564544365613197</v>
      </c>
      <c r="I92" s="62">
        <f t="shared" si="12"/>
        <v>0.81551299062620419</v>
      </c>
      <c r="J92" s="61">
        <f t="shared" si="13"/>
        <v>2216.6700000000092</v>
      </c>
      <c r="K92" s="62">
        <f t="shared" si="14"/>
        <v>0.13166125767395953</v>
      </c>
    </row>
    <row r="93" spans="1:11" x14ac:dyDescent="0.25">
      <c r="A93" s="13" t="s">
        <v>29</v>
      </c>
      <c r="B93" s="14">
        <v>12118.550000000008</v>
      </c>
      <c r="C93" s="246">
        <v>2.61</v>
      </c>
      <c r="D93" s="14">
        <v>10928.43</v>
      </c>
      <c r="E93" s="14">
        <f t="shared" si="11"/>
        <v>12121.160000000009</v>
      </c>
      <c r="F93" s="14">
        <v>15785</v>
      </c>
      <c r="G93" s="14">
        <v>16400</v>
      </c>
      <c r="H93" s="26">
        <f t="shared" si="12"/>
        <v>0.69233006018371879</v>
      </c>
      <c r="I93" s="26">
        <f t="shared" si="12"/>
        <v>0.73909512195122007</v>
      </c>
      <c r="J93" s="14">
        <f t="shared" si="13"/>
        <v>1192.7300000000087</v>
      </c>
      <c r="K93" s="26">
        <f t="shared" si="14"/>
        <v>0.10914010521181994</v>
      </c>
    </row>
    <row r="94" spans="1:11" x14ac:dyDescent="0.25">
      <c r="A94" s="13" t="s">
        <v>30</v>
      </c>
      <c r="B94" s="14">
        <v>3119.6800000000007</v>
      </c>
      <c r="C94" s="246">
        <v>5.67</v>
      </c>
      <c r="D94" s="14">
        <v>2691.2199999999993</v>
      </c>
      <c r="E94" s="14">
        <f t="shared" si="11"/>
        <v>3125.3500000000008</v>
      </c>
      <c r="F94" s="14">
        <v>2698</v>
      </c>
      <c r="G94" s="14">
        <v>3120</v>
      </c>
      <c r="H94" s="26">
        <f t="shared" si="12"/>
        <v>0.99748702742772399</v>
      </c>
      <c r="I94" s="26">
        <f t="shared" si="12"/>
        <v>1.0017147435897438</v>
      </c>
      <c r="J94" s="14">
        <f t="shared" si="13"/>
        <v>434.13000000000147</v>
      </c>
      <c r="K94" s="26">
        <f t="shared" si="14"/>
        <v>0.16131345635065197</v>
      </c>
    </row>
    <row r="95" spans="1:11" x14ac:dyDescent="0.25">
      <c r="A95" s="13" t="s">
        <v>31</v>
      </c>
      <c r="B95" s="14">
        <v>844.18999999999994</v>
      </c>
      <c r="C95" s="246">
        <v>0.18</v>
      </c>
      <c r="D95" s="14">
        <v>757.27</v>
      </c>
      <c r="E95" s="14">
        <f t="shared" si="11"/>
        <v>844.36999999999989</v>
      </c>
      <c r="F95" s="14">
        <v>757</v>
      </c>
      <c r="G95" s="14">
        <v>845</v>
      </c>
      <c r="H95" s="26">
        <f t="shared" si="12"/>
        <v>1.0003566710700131</v>
      </c>
      <c r="I95" s="26">
        <f t="shared" si="12"/>
        <v>0.99925443786982238</v>
      </c>
      <c r="J95" s="14">
        <f t="shared" si="13"/>
        <v>87.099999999999909</v>
      </c>
      <c r="K95" s="26">
        <f t="shared" si="14"/>
        <v>0.11501842143489105</v>
      </c>
    </row>
    <row r="96" spans="1:11" x14ac:dyDescent="0.25">
      <c r="A96" s="13" t="s">
        <v>32</v>
      </c>
      <c r="B96" s="14">
        <v>36</v>
      </c>
      <c r="C96" s="246">
        <v>0.09</v>
      </c>
      <c r="D96" s="14">
        <v>35.11</v>
      </c>
      <c r="E96" s="14">
        <f t="shared" si="11"/>
        <v>36.090000000000003</v>
      </c>
      <c r="F96" s="14">
        <v>35</v>
      </c>
      <c r="G96" s="14">
        <v>36</v>
      </c>
      <c r="H96" s="26">
        <f t="shared" si="12"/>
        <v>1.0031428571428571</v>
      </c>
      <c r="I96" s="26">
        <f t="shared" si="12"/>
        <v>1.0025000000000002</v>
      </c>
      <c r="J96" s="14">
        <f t="shared" si="13"/>
        <v>0.98000000000000398</v>
      </c>
      <c r="K96" s="26">
        <f t="shared" si="14"/>
        <v>2.7912275704927492E-2</v>
      </c>
    </row>
    <row r="97" spans="1:11" x14ac:dyDescent="0.25">
      <c r="A97" s="13" t="s">
        <v>33</v>
      </c>
      <c r="B97" s="14">
        <v>2924.96</v>
      </c>
      <c r="C97" s="246">
        <v>0.9</v>
      </c>
      <c r="D97" s="14">
        <v>2424.1299999999997</v>
      </c>
      <c r="E97" s="14">
        <f t="shared" si="11"/>
        <v>2925.86</v>
      </c>
      <c r="F97" s="14">
        <v>2431</v>
      </c>
      <c r="G97" s="14">
        <v>2962</v>
      </c>
      <c r="H97" s="26">
        <f t="shared" si="12"/>
        <v>0.99717400246811994</v>
      </c>
      <c r="I97" s="26">
        <f t="shared" si="12"/>
        <v>0.9877987846049967</v>
      </c>
      <c r="J97" s="14">
        <f t="shared" si="13"/>
        <v>501.73000000000047</v>
      </c>
      <c r="K97" s="26">
        <f t="shared" si="14"/>
        <v>0.20697322338323465</v>
      </c>
    </row>
    <row r="98" spans="1:11" x14ac:dyDescent="0.25">
      <c r="A98" s="60" t="s">
        <v>53</v>
      </c>
      <c r="B98" s="61">
        <v>597.80999999999995</v>
      </c>
      <c r="C98" s="60"/>
      <c r="D98" s="61">
        <f>SUM(D99:D107)</f>
        <v>437.31</v>
      </c>
      <c r="E98" s="61">
        <f t="shared" si="11"/>
        <v>597.80999999999995</v>
      </c>
      <c r="F98" s="61">
        <f t="shared" ref="F98:G98" si="19">SUM(F99:F107)</f>
        <v>1036</v>
      </c>
      <c r="G98" s="61">
        <f t="shared" si="19"/>
        <v>1365</v>
      </c>
      <c r="H98" s="62">
        <f t="shared" si="12"/>
        <v>0.42211389961389961</v>
      </c>
      <c r="I98" s="62">
        <f t="shared" si="12"/>
        <v>0.43795604395604393</v>
      </c>
      <c r="J98" s="61">
        <f t="shared" si="13"/>
        <v>160.49999999999994</v>
      </c>
      <c r="K98" s="62">
        <f t="shared" si="14"/>
        <v>0.36701653289428537</v>
      </c>
    </row>
    <row r="99" spans="1:11" x14ac:dyDescent="0.25">
      <c r="A99" s="13" t="s">
        <v>34</v>
      </c>
      <c r="B99" s="14">
        <v>15.309999999999999</v>
      </c>
      <c r="C99" s="13"/>
      <c r="D99" s="14">
        <v>8.0500000000000007</v>
      </c>
      <c r="E99" s="14">
        <f t="shared" si="11"/>
        <v>15.309999999999999</v>
      </c>
      <c r="F99" s="14">
        <v>8</v>
      </c>
      <c r="G99" s="14">
        <v>15</v>
      </c>
      <c r="H99" s="26">
        <f t="shared" si="12"/>
        <v>1.0062500000000001</v>
      </c>
      <c r="I99" s="26">
        <f t="shared" si="12"/>
        <v>1.0206666666666666</v>
      </c>
      <c r="J99" s="14">
        <f t="shared" si="13"/>
        <v>7.259999999999998</v>
      </c>
      <c r="K99" s="26">
        <f t="shared" si="14"/>
        <v>0.9018633540372667</v>
      </c>
    </row>
    <row r="100" spans="1:11" x14ac:dyDescent="0.25">
      <c r="A100" s="13" t="s">
        <v>35</v>
      </c>
      <c r="B100" s="14">
        <v>2.02</v>
      </c>
      <c r="C100" s="13"/>
      <c r="D100" s="14">
        <v>2.42</v>
      </c>
      <c r="E100" s="14">
        <f t="shared" si="11"/>
        <v>2.02</v>
      </c>
      <c r="F100" s="14">
        <v>5</v>
      </c>
      <c r="G100" s="14">
        <v>5</v>
      </c>
      <c r="H100" s="26">
        <f t="shared" si="12"/>
        <v>0.48399999999999999</v>
      </c>
      <c r="I100" s="26">
        <f t="shared" si="12"/>
        <v>0.40400000000000003</v>
      </c>
      <c r="J100" s="14">
        <f t="shared" si="13"/>
        <v>-0.39999999999999991</v>
      </c>
      <c r="K100" s="26">
        <f t="shared" si="14"/>
        <v>-0.16528925619834711</v>
      </c>
    </row>
    <row r="101" spans="1:11" x14ac:dyDescent="0.25">
      <c r="A101" s="13" t="s">
        <v>36</v>
      </c>
      <c r="B101" s="14">
        <v>27.82</v>
      </c>
      <c r="C101" s="13"/>
      <c r="D101" s="14">
        <v>26.06</v>
      </c>
      <c r="E101" s="14">
        <f t="shared" si="11"/>
        <v>27.82</v>
      </c>
      <c r="F101" s="14">
        <v>25</v>
      </c>
      <c r="G101" s="14">
        <v>26</v>
      </c>
      <c r="H101" s="26">
        <f t="shared" si="12"/>
        <v>1.0424</v>
      </c>
      <c r="I101" s="26">
        <f t="shared" si="12"/>
        <v>1.07</v>
      </c>
      <c r="J101" s="14">
        <f t="shared" si="13"/>
        <v>1.7600000000000016</v>
      </c>
      <c r="K101" s="26">
        <f t="shared" si="14"/>
        <v>6.7536454336147411E-2</v>
      </c>
    </row>
    <row r="102" spans="1:11" x14ac:dyDescent="0.25">
      <c r="A102" s="13" t="s">
        <v>37</v>
      </c>
      <c r="B102" s="14">
        <v>10.290000000000001</v>
      </c>
      <c r="C102" s="13"/>
      <c r="D102" s="14">
        <v>8.09</v>
      </c>
      <c r="E102" s="14">
        <f t="shared" si="11"/>
        <v>10.290000000000001</v>
      </c>
      <c r="F102" s="14">
        <v>8</v>
      </c>
      <c r="G102" s="14">
        <v>10</v>
      </c>
      <c r="H102" s="26">
        <f t="shared" si="12"/>
        <v>1.01125</v>
      </c>
      <c r="I102" s="26">
        <f t="shared" si="12"/>
        <v>1.0290000000000001</v>
      </c>
      <c r="J102" s="14">
        <f t="shared" si="13"/>
        <v>2.2000000000000011</v>
      </c>
      <c r="K102" s="26">
        <f t="shared" si="14"/>
        <v>0.27194066749072943</v>
      </c>
    </row>
    <row r="103" spans="1:11" x14ac:dyDescent="0.25">
      <c r="A103" s="13" t="s">
        <v>38</v>
      </c>
      <c r="B103" s="14">
        <v>62.73</v>
      </c>
      <c r="C103" s="13"/>
      <c r="D103" s="14">
        <v>60.63</v>
      </c>
      <c r="E103" s="14">
        <f t="shared" si="11"/>
        <v>62.73</v>
      </c>
      <c r="F103" s="14">
        <v>60</v>
      </c>
      <c r="G103" s="14">
        <v>63</v>
      </c>
      <c r="H103" s="26">
        <f t="shared" si="12"/>
        <v>1.0105</v>
      </c>
      <c r="I103" s="26">
        <f t="shared" si="12"/>
        <v>0.99571428571428566</v>
      </c>
      <c r="J103" s="14">
        <f t="shared" si="13"/>
        <v>2.0999999999999943</v>
      </c>
      <c r="K103" s="26">
        <f t="shared" si="14"/>
        <v>3.4636318654131415E-2</v>
      </c>
    </row>
    <row r="104" spans="1:11" x14ac:dyDescent="0.25">
      <c r="A104" s="13" t="s">
        <v>39</v>
      </c>
      <c r="B104" s="14"/>
      <c r="C104" s="13"/>
      <c r="D104" s="14">
        <v>0</v>
      </c>
      <c r="E104" s="14">
        <f t="shared" si="11"/>
        <v>0</v>
      </c>
      <c r="F104" s="14"/>
      <c r="G104" s="14"/>
      <c r="H104" s="26"/>
      <c r="I104" s="26"/>
      <c r="J104" s="14"/>
      <c r="K104" s="26"/>
    </row>
    <row r="105" spans="1:11" x14ac:dyDescent="0.25">
      <c r="A105" s="13" t="s">
        <v>40</v>
      </c>
      <c r="B105" s="14">
        <v>79.910000000000011</v>
      </c>
      <c r="C105" s="13"/>
      <c r="D105" s="14">
        <v>76.449999999999989</v>
      </c>
      <c r="E105" s="14">
        <f t="shared" si="11"/>
        <v>79.910000000000011</v>
      </c>
      <c r="F105" s="14">
        <v>77</v>
      </c>
      <c r="G105" s="14">
        <v>80</v>
      </c>
      <c r="H105" s="26">
        <f t="shared" si="12"/>
        <v>0.99285714285714266</v>
      </c>
      <c r="I105" s="26">
        <f t="shared" si="12"/>
        <v>0.99887500000000018</v>
      </c>
      <c r="J105" s="14">
        <f t="shared" si="13"/>
        <v>3.4600000000000222</v>
      </c>
      <c r="K105" s="26">
        <f t="shared" si="14"/>
        <v>4.5258338783519036E-2</v>
      </c>
    </row>
    <row r="106" spans="1:11" x14ac:dyDescent="0.25">
      <c r="A106" s="13" t="s">
        <v>41</v>
      </c>
      <c r="B106" s="14">
        <v>369.24</v>
      </c>
      <c r="C106" s="13"/>
      <c r="D106" s="14">
        <v>230.95000000000002</v>
      </c>
      <c r="E106" s="14">
        <f t="shared" si="11"/>
        <v>369.24</v>
      </c>
      <c r="F106" s="14">
        <v>519</v>
      </c>
      <c r="G106" s="14">
        <v>767</v>
      </c>
      <c r="H106" s="26">
        <f t="shared" si="12"/>
        <v>0.44499036608863202</v>
      </c>
      <c r="I106" s="26">
        <f t="shared" si="12"/>
        <v>0.48140808344198177</v>
      </c>
      <c r="J106" s="14">
        <f t="shared" si="13"/>
        <v>138.29</v>
      </c>
      <c r="K106" s="26">
        <f t="shared" si="14"/>
        <v>0.59878761636717903</v>
      </c>
    </row>
    <row r="107" spans="1:11" x14ac:dyDescent="0.25">
      <c r="A107" s="13" t="s">
        <v>42</v>
      </c>
      <c r="B107" s="14">
        <v>30.490000000000002</v>
      </c>
      <c r="C107" s="13"/>
      <c r="D107" s="14">
        <v>24.66</v>
      </c>
      <c r="E107" s="14">
        <f t="shared" si="11"/>
        <v>30.490000000000002</v>
      </c>
      <c r="F107" s="14">
        <v>334</v>
      </c>
      <c r="G107" s="14">
        <v>399</v>
      </c>
      <c r="H107" s="26">
        <f t="shared" si="12"/>
        <v>7.3832335329341317E-2</v>
      </c>
      <c r="I107" s="26">
        <f t="shared" si="12"/>
        <v>7.6416040100250632E-2</v>
      </c>
      <c r="J107" s="14">
        <f t="shared" si="13"/>
        <v>5.8300000000000018</v>
      </c>
      <c r="K107" s="26">
        <f t="shared" si="14"/>
        <v>0.23641524736415254</v>
      </c>
    </row>
    <row r="108" spans="1:11" x14ac:dyDescent="0.25">
      <c r="A108" s="60" t="s">
        <v>54</v>
      </c>
      <c r="B108" s="61">
        <v>6928.9599999999991</v>
      </c>
      <c r="C108" s="60"/>
      <c r="D108" s="61">
        <f>SUM(D109:D110)</f>
        <v>5479.3</v>
      </c>
      <c r="E108" s="61">
        <f t="shared" si="11"/>
        <v>6928.9599999999991</v>
      </c>
      <c r="F108" s="61">
        <f t="shared" ref="F108:G108" si="20">SUM(F109:F110)</f>
        <v>5389</v>
      </c>
      <c r="G108" s="61">
        <f t="shared" si="20"/>
        <v>6708</v>
      </c>
      <c r="H108" s="62">
        <f t="shared" si="12"/>
        <v>1.0167563555390611</v>
      </c>
      <c r="I108" s="62">
        <f t="shared" si="12"/>
        <v>1.0329397734048895</v>
      </c>
      <c r="J108" s="61">
        <f t="shared" si="13"/>
        <v>1449.6599999999989</v>
      </c>
      <c r="K108" s="62">
        <f t="shared" si="14"/>
        <v>0.26457029182559788</v>
      </c>
    </row>
    <row r="109" spans="1:11" x14ac:dyDescent="0.25">
      <c r="A109" s="13" t="s">
        <v>43</v>
      </c>
      <c r="B109" s="14">
        <v>4798.8099999999995</v>
      </c>
      <c r="C109" s="13"/>
      <c r="D109" s="14">
        <v>3689.64</v>
      </c>
      <c r="E109" s="14">
        <f t="shared" si="11"/>
        <v>4798.8099999999995</v>
      </c>
      <c r="F109" s="14">
        <v>3717</v>
      </c>
      <c r="G109" s="14">
        <v>4782</v>
      </c>
      <c r="H109" s="26">
        <f t="shared" si="12"/>
        <v>0.99263922518159808</v>
      </c>
      <c r="I109" s="26">
        <f t="shared" si="12"/>
        <v>1.0035152655792554</v>
      </c>
      <c r="J109" s="14">
        <f t="shared" si="13"/>
        <v>1109.1699999999996</v>
      </c>
      <c r="K109" s="26">
        <f t="shared" si="14"/>
        <v>0.3006174044080181</v>
      </c>
    </row>
    <row r="110" spans="1:11" x14ac:dyDescent="0.25">
      <c r="A110" s="13" t="s">
        <v>44</v>
      </c>
      <c r="B110" s="14">
        <v>2130.1499999999996</v>
      </c>
      <c r="C110" s="13"/>
      <c r="D110" s="14">
        <v>1789.66</v>
      </c>
      <c r="E110" s="14">
        <f t="shared" si="11"/>
        <v>2130.1499999999996</v>
      </c>
      <c r="F110" s="14">
        <v>1672</v>
      </c>
      <c r="G110" s="14">
        <v>1926</v>
      </c>
      <c r="H110" s="26">
        <f t="shared" si="12"/>
        <v>1.0703708133971293</v>
      </c>
      <c r="I110" s="26">
        <f t="shared" si="12"/>
        <v>1.1059968847352024</v>
      </c>
      <c r="J110" s="14">
        <f t="shared" si="13"/>
        <v>340.48999999999955</v>
      </c>
      <c r="K110" s="26">
        <f t="shared" si="14"/>
        <v>0.19025401472905434</v>
      </c>
    </row>
    <row r="111" spans="1:11" x14ac:dyDescent="0.25">
      <c r="A111" s="60" t="s">
        <v>75</v>
      </c>
      <c r="B111" s="61">
        <v>446.54000000000008</v>
      </c>
      <c r="C111" s="245">
        <v>159.32</v>
      </c>
      <c r="D111" s="61">
        <f>D112</f>
        <v>530.57000000000005</v>
      </c>
      <c r="E111" s="61">
        <f t="shared" si="11"/>
        <v>605.86000000000013</v>
      </c>
      <c r="F111" s="61">
        <f t="shared" ref="F111:G111" si="21">F112</f>
        <v>315</v>
      </c>
      <c r="G111" s="61">
        <f t="shared" si="21"/>
        <v>315</v>
      </c>
      <c r="H111" s="62">
        <f t="shared" si="12"/>
        <v>1.6843492063492065</v>
      </c>
      <c r="I111" s="62">
        <f t="shared" si="12"/>
        <v>1.9233650793650798</v>
      </c>
      <c r="J111" s="61">
        <f t="shared" si="13"/>
        <v>75.290000000000077</v>
      </c>
      <c r="K111" s="62">
        <f t="shared" si="14"/>
        <v>0.14190399004843868</v>
      </c>
    </row>
    <row r="112" spans="1:11" x14ac:dyDescent="0.25">
      <c r="A112" s="13" t="s">
        <v>230</v>
      </c>
      <c r="B112" s="14">
        <v>446.54000000000008</v>
      </c>
      <c r="C112" s="246">
        <v>159.32</v>
      </c>
      <c r="D112" s="14">
        <v>530.57000000000005</v>
      </c>
      <c r="E112" s="14">
        <f t="shared" si="11"/>
        <v>605.86000000000013</v>
      </c>
      <c r="F112" s="14">
        <v>315</v>
      </c>
      <c r="G112" s="14">
        <v>315</v>
      </c>
      <c r="H112" s="26">
        <f t="shared" si="12"/>
        <v>1.6843492063492065</v>
      </c>
      <c r="I112" s="26">
        <f t="shared" si="12"/>
        <v>1.9233650793650798</v>
      </c>
      <c r="J112" s="14">
        <f t="shared" si="13"/>
        <v>75.290000000000077</v>
      </c>
      <c r="K112" s="26">
        <f t="shared" si="14"/>
        <v>0.14190399004843868</v>
      </c>
    </row>
    <row r="113" spans="1:11" x14ac:dyDescent="0.25">
      <c r="A113" s="60" t="s">
        <v>79</v>
      </c>
      <c r="B113" s="61"/>
      <c r="C113" s="60"/>
      <c r="D113" s="61"/>
      <c r="E113" s="61">
        <f t="shared" si="11"/>
        <v>0</v>
      </c>
      <c r="F113" s="61">
        <v>23</v>
      </c>
      <c r="G113" s="61">
        <v>59</v>
      </c>
      <c r="H113" s="62">
        <f t="shared" si="12"/>
        <v>0</v>
      </c>
      <c r="I113" s="62">
        <f t="shared" si="12"/>
        <v>0</v>
      </c>
      <c r="J113" s="61">
        <f t="shared" si="13"/>
        <v>0</v>
      </c>
      <c r="K113" s="62" t="str">
        <f t="shared" si="14"/>
        <v/>
      </c>
    </row>
    <row r="114" spans="1:11" x14ac:dyDescent="0.25">
      <c r="A114" s="13" t="s">
        <v>82</v>
      </c>
      <c r="B114" s="14"/>
      <c r="C114" s="13"/>
      <c r="D114" s="14"/>
      <c r="E114" s="14">
        <f t="shared" si="11"/>
        <v>0</v>
      </c>
      <c r="F114" s="14">
        <v>13</v>
      </c>
      <c r="G114" s="14">
        <v>46</v>
      </c>
      <c r="H114" s="26">
        <f t="shared" si="12"/>
        <v>0</v>
      </c>
      <c r="I114" s="26">
        <f t="shared" si="12"/>
        <v>0</v>
      </c>
      <c r="J114" s="14">
        <f t="shared" si="13"/>
        <v>0</v>
      </c>
      <c r="K114" s="26" t="str">
        <f t="shared" si="14"/>
        <v/>
      </c>
    </row>
    <row r="115" spans="1:11" x14ac:dyDescent="0.25">
      <c r="A115" s="6" t="s">
        <v>84</v>
      </c>
      <c r="B115" s="14"/>
      <c r="C115" s="6"/>
      <c r="D115" s="14"/>
      <c r="E115" s="14">
        <f t="shared" si="11"/>
        <v>0</v>
      </c>
      <c r="F115" s="14">
        <v>10</v>
      </c>
      <c r="G115" s="14">
        <v>13</v>
      </c>
      <c r="H115" s="26">
        <f t="shared" si="12"/>
        <v>0</v>
      </c>
      <c r="I115" s="26">
        <f t="shared" si="12"/>
        <v>0</v>
      </c>
      <c r="J115" s="14">
        <f t="shared" si="13"/>
        <v>0</v>
      </c>
      <c r="K115" s="26" t="str">
        <f t="shared" si="14"/>
        <v/>
      </c>
    </row>
    <row r="116" spans="1:11" x14ac:dyDescent="0.25">
      <c r="A116" s="60" t="s">
        <v>55</v>
      </c>
      <c r="B116" s="61">
        <v>773.81000000000006</v>
      </c>
      <c r="C116" s="60"/>
      <c r="D116" s="61">
        <f>D117</f>
        <v>657.2399999999999</v>
      </c>
      <c r="E116" s="61">
        <f t="shared" si="11"/>
        <v>773.81000000000006</v>
      </c>
      <c r="F116" s="61">
        <f t="shared" ref="F116:G116" si="22">F117</f>
        <v>921</v>
      </c>
      <c r="G116" s="61">
        <f t="shared" si="22"/>
        <v>1133</v>
      </c>
      <c r="H116" s="62">
        <f t="shared" si="12"/>
        <v>0.71361563517915294</v>
      </c>
      <c r="I116" s="62">
        <f t="shared" si="12"/>
        <v>0.68297440423654021</v>
      </c>
      <c r="J116" s="61">
        <f t="shared" si="13"/>
        <v>116.57000000000016</v>
      </c>
      <c r="K116" s="62">
        <f t="shared" si="14"/>
        <v>0.17736291156959427</v>
      </c>
    </row>
    <row r="117" spans="1:11" x14ac:dyDescent="0.25">
      <c r="A117" s="13" t="s">
        <v>45</v>
      </c>
      <c r="B117" s="14">
        <v>773.81000000000006</v>
      </c>
      <c r="C117" s="13"/>
      <c r="D117" s="14">
        <v>657.2399999999999</v>
      </c>
      <c r="E117" s="14">
        <f t="shared" si="11"/>
        <v>773.81000000000006</v>
      </c>
      <c r="F117" s="14">
        <v>921</v>
      </c>
      <c r="G117" s="14">
        <v>1133</v>
      </c>
      <c r="H117" s="26">
        <f t="shared" si="12"/>
        <v>0.71361563517915294</v>
      </c>
      <c r="I117" s="26">
        <f t="shared" si="12"/>
        <v>0.68297440423654021</v>
      </c>
      <c r="J117" s="14">
        <f t="shared" si="13"/>
        <v>116.57000000000016</v>
      </c>
      <c r="K117" s="26">
        <f t="shared" si="14"/>
        <v>0.17736291156959427</v>
      </c>
    </row>
    <row r="118" spans="1:11" x14ac:dyDescent="0.25">
      <c r="A118" s="60" t="s">
        <v>80</v>
      </c>
      <c r="B118" s="61">
        <v>59.330000000000005</v>
      </c>
      <c r="C118" s="60"/>
      <c r="D118" s="61">
        <f>D119</f>
        <v>46.77</v>
      </c>
      <c r="E118" s="61">
        <f t="shared" si="11"/>
        <v>59.330000000000005</v>
      </c>
      <c r="F118" s="61">
        <f t="shared" ref="F118:G118" si="23">F119</f>
        <v>822</v>
      </c>
      <c r="G118" s="61">
        <f t="shared" si="23"/>
        <v>1156</v>
      </c>
      <c r="H118" s="62">
        <f t="shared" si="12"/>
        <v>5.6897810218978107E-2</v>
      </c>
      <c r="I118" s="62">
        <f t="shared" si="12"/>
        <v>5.1323529411764712E-2</v>
      </c>
      <c r="J118" s="61">
        <f t="shared" si="13"/>
        <v>12.560000000000002</v>
      </c>
      <c r="K118" s="62">
        <f t="shared" si="14"/>
        <v>0.26854821466752199</v>
      </c>
    </row>
    <row r="119" spans="1:11" x14ac:dyDescent="0.25">
      <c r="A119" s="13" t="s">
        <v>81</v>
      </c>
      <c r="B119" s="14">
        <v>59.330000000000005</v>
      </c>
      <c r="C119" s="13"/>
      <c r="D119" s="14">
        <v>46.77</v>
      </c>
      <c r="E119" s="14">
        <f t="shared" si="11"/>
        <v>59.330000000000005</v>
      </c>
      <c r="F119" s="14">
        <v>822</v>
      </c>
      <c r="G119" s="14">
        <v>1156</v>
      </c>
      <c r="H119" s="26">
        <f t="shared" si="12"/>
        <v>5.6897810218978107E-2</v>
      </c>
      <c r="I119" s="26">
        <f t="shared" si="12"/>
        <v>5.1323529411764712E-2</v>
      </c>
      <c r="J119" s="14">
        <f t="shared" si="13"/>
        <v>12.560000000000002</v>
      </c>
      <c r="K119" s="26">
        <f t="shared" si="14"/>
        <v>0.26854821466752199</v>
      </c>
    </row>
    <row r="120" spans="1:11" x14ac:dyDescent="0.25">
      <c r="A120" s="60" t="s">
        <v>56</v>
      </c>
      <c r="B120" s="61">
        <v>6795.8499999999958</v>
      </c>
      <c r="C120" s="60"/>
      <c r="D120" s="61">
        <f>D121</f>
        <v>6642.6699999999983</v>
      </c>
      <c r="E120" s="61">
        <f t="shared" si="11"/>
        <v>6795.8499999999958</v>
      </c>
      <c r="F120" s="61">
        <f t="shared" ref="F120:G120" si="24">F121</f>
        <v>6924</v>
      </c>
      <c r="G120" s="61">
        <f t="shared" si="24"/>
        <v>7034</v>
      </c>
      <c r="H120" s="62">
        <f t="shared" si="12"/>
        <v>0.95936886192952031</v>
      </c>
      <c r="I120" s="62">
        <f t="shared" si="12"/>
        <v>0.96614301961899285</v>
      </c>
      <c r="J120" s="61">
        <f t="shared" si="13"/>
        <v>153.17999999999756</v>
      </c>
      <c r="K120" s="62">
        <f t="shared" si="14"/>
        <v>2.3060004486147534E-2</v>
      </c>
    </row>
    <row r="121" spans="1:11" x14ac:dyDescent="0.25">
      <c r="A121" s="13" t="s">
        <v>46</v>
      </c>
      <c r="B121" s="14">
        <v>6795.8499999999958</v>
      </c>
      <c r="C121" s="13"/>
      <c r="D121" s="14">
        <v>6642.6699999999983</v>
      </c>
      <c r="E121" s="14">
        <f t="shared" si="11"/>
        <v>6795.8499999999958</v>
      </c>
      <c r="F121" s="14">
        <v>6924</v>
      </c>
      <c r="G121" s="14">
        <v>7034</v>
      </c>
      <c r="H121" s="26">
        <f t="shared" si="12"/>
        <v>0.95936886192952031</v>
      </c>
      <c r="I121" s="26">
        <f t="shared" si="12"/>
        <v>0.96614301961899285</v>
      </c>
      <c r="J121" s="14">
        <f t="shared" si="13"/>
        <v>153.17999999999756</v>
      </c>
      <c r="K121" s="26">
        <f t="shared" si="14"/>
        <v>2.3060004486147534E-2</v>
      </c>
    </row>
    <row r="122" spans="1:11" x14ac:dyDescent="0.25">
      <c r="A122" s="60" t="s">
        <v>57</v>
      </c>
      <c r="B122" s="61">
        <v>1694.349999999999</v>
      </c>
      <c r="C122" s="245">
        <v>0.59</v>
      </c>
      <c r="D122" s="61">
        <f>D123</f>
        <v>1511.3</v>
      </c>
      <c r="E122" s="61">
        <f t="shared" si="11"/>
        <v>1694.9399999999989</v>
      </c>
      <c r="F122" s="61">
        <f t="shared" ref="F122:G122" si="25">F123</f>
        <v>1967</v>
      </c>
      <c r="G122" s="61">
        <f t="shared" si="25"/>
        <v>2200</v>
      </c>
      <c r="H122" s="62">
        <f t="shared" si="12"/>
        <v>0.76832740213523132</v>
      </c>
      <c r="I122" s="62">
        <f t="shared" si="12"/>
        <v>0.77042727272727218</v>
      </c>
      <c r="J122" s="61">
        <f t="shared" si="13"/>
        <v>183.63999999999896</v>
      </c>
      <c r="K122" s="62">
        <f t="shared" si="14"/>
        <v>0.12151128167802483</v>
      </c>
    </row>
    <row r="123" spans="1:11" x14ac:dyDescent="0.25">
      <c r="A123" s="13" t="s">
        <v>47</v>
      </c>
      <c r="B123" s="14">
        <v>1694.349999999999</v>
      </c>
      <c r="C123" s="246">
        <v>0.59</v>
      </c>
      <c r="D123" s="14">
        <v>1511.3</v>
      </c>
      <c r="E123" s="14">
        <f t="shared" si="11"/>
        <v>1694.9399999999989</v>
      </c>
      <c r="F123" s="14">
        <v>1967</v>
      </c>
      <c r="G123" s="14">
        <v>2200</v>
      </c>
      <c r="H123" s="26">
        <f t="shared" si="12"/>
        <v>0.76832740213523132</v>
      </c>
      <c r="I123" s="26">
        <f t="shared" si="12"/>
        <v>0.77042727272727218</v>
      </c>
      <c r="J123" s="14">
        <f t="shared" si="13"/>
        <v>183.63999999999896</v>
      </c>
      <c r="K123" s="26">
        <f t="shared" si="14"/>
        <v>0.12151128167802483</v>
      </c>
    </row>
    <row r="124" spans="1:11" x14ac:dyDescent="0.25">
      <c r="A124" s="63" t="s">
        <v>59</v>
      </c>
      <c r="B124" s="64">
        <f t="shared" ref="B124:G124" si="26">B122+B120+B118+B116+B113+B111+B108+B98+B92+B87+B83+B79+B70</f>
        <v>99175.31</v>
      </c>
      <c r="C124" s="64">
        <f t="shared" si="26"/>
        <v>302.69000000000005</v>
      </c>
      <c r="D124" s="64">
        <f>D122+D120+D118+D116+D113+D111+D108+D98+D92+D87+D83+D79+D70</f>
        <v>77657.63</v>
      </c>
      <c r="E124" s="64">
        <f t="shared" si="26"/>
        <v>99478</v>
      </c>
      <c r="F124" s="64">
        <f t="shared" si="26"/>
        <v>105051</v>
      </c>
      <c r="G124" s="64">
        <f t="shared" si="26"/>
        <v>118202</v>
      </c>
      <c r="H124" s="65">
        <f t="shared" si="12"/>
        <v>0.73923741801601128</v>
      </c>
      <c r="I124" s="65">
        <f t="shared" si="12"/>
        <v>0.84159320485270972</v>
      </c>
      <c r="J124" s="64">
        <f t="shared" si="13"/>
        <v>21820.369999999995</v>
      </c>
      <c r="K124" s="65">
        <f>IFERROR((E124/D124)-1,"")</f>
        <v>0.28098166271620695</v>
      </c>
    </row>
    <row r="125" spans="1:11" x14ac:dyDescent="0.25">
      <c r="E125" s="7"/>
    </row>
  </sheetData>
  <sortState ref="M69:P74">
    <sortCondition descending="1" ref="N69:N74"/>
  </sortState>
  <mergeCells count="12">
    <mergeCell ref="J68:K68"/>
    <mergeCell ref="A5:D5"/>
    <mergeCell ref="A6:A7"/>
    <mergeCell ref="D6:E6"/>
    <mergeCell ref="F6:G6"/>
    <mergeCell ref="H6:I6"/>
    <mergeCell ref="J6:K6"/>
    <mergeCell ref="A67:D67"/>
    <mergeCell ref="A68:A69"/>
    <mergeCell ref="D68:E68"/>
    <mergeCell ref="F68:G68"/>
    <mergeCell ref="H68:I68"/>
  </mergeCells>
  <conditionalFormatting sqref="J8:K64">
    <cfRule type="cellIs" dxfId="7" priority="2" operator="lessThan">
      <formula>0</formula>
    </cfRule>
  </conditionalFormatting>
  <conditionalFormatting sqref="J70:K124">
    <cfRule type="cellIs" dxfId="6" priority="1" operator="lessThan">
      <formula>0</formula>
    </cfRule>
  </conditionalFormatting>
  <hyperlinks>
    <hyperlink ref="F1" location="INDICE!A1" display="INDICE"/>
  </hyperlinks>
  <pageMargins left="0.7" right="0.7" top="0.75" bottom="0.75" header="0.3" footer="0.3"/>
  <pageSetup paperSize="9" orientation="portrait" r:id="rId1"/>
  <ignoredErrors>
    <ignoredError sqref="F8:G8" formulaRange="1"/>
    <ignoredError sqref="E70" formula="1"/>
  </ignoredError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5"/>
  <sheetViews>
    <sheetView workbookViewId="0">
      <pane xSplit="1" topLeftCell="B1" activePane="topRight" state="frozen"/>
      <selection activeCell="A25" sqref="A25"/>
      <selection pane="topRight" activeCell="G1" sqref="G1:J2"/>
    </sheetView>
  </sheetViews>
  <sheetFormatPr baseColWidth="10" defaultRowHeight="15" x14ac:dyDescent="0.25"/>
  <cols>
    <col min="1" max="1" width="26.42578125" customWidth="1"/>
    <col min="2" max="2" width="15.140625" customWidth="1"/>
    <col min="3" max="3" width="16.140625" customWidth="1"/>
    <col min="4" max="4" width="14.5703125" customWidth="1"/>
    <col min="5" max="6" width="16.85546875" customWidth="1"/>
    <col min="7" max="7" width="13.5703125" customWidth="1"/>
    <col min="8" max="8" width="12.85546875" customWidth="1"/>
    <col min="9" max="9" width="17.42578125" customWidth="1"/>
    <col min="11" max="11" width="17.42578125" customWidth="1"/>
    <col min="12" max="12" width="16.85546875" customWidth="1"/>
    <col min="13" max="13" width="18.42578125" customWidth="1"/>
    <col min="14" max="14" width="10.42578125" customWidth="1"/>
    <col min="16" max="16" width="20.140625" customWidth="1"/>
  </cols>
  <sheetData>
    <row r="1" spans="1:18" x14ac:dyDescent="0.25">
      <c r="D1" s="2" t="s">
        <v>0</v>
      </c>
      <c r="E1" s="176" t="s">
        <v>1</v>
      </c>
      <c r="F1" s="2" t="s">
        <v>216</v>
      </c>
      <c r="G1" t="s">
        <v>219</v>
      </c>
    </row>
    <row r="2" spans="1:18" x14ac:dyDescent="0.25">
      <c r="D2" s="2"/>
      <c r="E2" s="176"/>
      <c r="F2" s="2"/>
      <c r="G2" t="s">
        <v>320</v>
      </c>
    </row>
    <row r="3" spans="1:18" ht="18.75" x14ac:dyDescent="0.3">
      <c r="A3" s="102" t="s">
        <v>10</v>
      </c>
    </row>
    <row r="4" spans="1:18" x14ac:dyDescent="0.25">
      <c r="A4" s="312" t="s">
        <v>94</v>
      </c>
      <c r="B4" s="312" t="s">
        <v>148</v>
      </c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</row>
    <row r="5" spans="1:18" x14ac:dyDescent="0.25">
      <c r="A5" s="312"/>
      <c r="B5" s="98" t="s">
        <v>150</v>
      </c>
      <c r="C5" s="98" t="s">
        <v>151</v>
      </c>
      <c r="D5" s="98" t="s">
        <v>149</v>
      </c>
      <c r="E5" s="98" t="s">
        <v>154</v>
      </c>
      <c r="F5" s="98" t="s">
        <v>152</v>
      </c>
      <c r="G5" s="98" t="s">
        <v>161</v>
      </c>
      <c r="H5" s="98" t="s">
        <v>162</v>
      </c>
      <c r="I5" s="98" t="s">
        <v>158</v>
      </c>
      <c r="J5" s="98" t="s">
        <v>157</v>
      </c>
      <c r="K5" s="98" t="s">
        <v>163</v>
      </c>
      <c r="L5" s="98" t="s">
        <v>159</v>
      </c>
      <c r="M5" s="98" t="s">
        <v>298</v>
      </c>
      <c r="N5" s="104" t="s">
        <v>160</v>
      </c>
      <c r="P5" s="325" t="s">
        <v>208</v>
      </c>
      <c r="Q5" s="326"/>
      <c r="R5" s="326"/>
    </row>
    <row r="6" spans="1:18" x14ac:dyDescent="0.25">
      <c r="A6" s="95" t="s">
        <v>49</v>
      </c>
      <c r="B6" s="96">
        <f>B13</f>
        <v>0.22</v>
      </c>
      <c r="C6" s="96">
        <f>SUM(C7:C13)</f>
        <v>1.05</v>
      </c>
      <c r="D6" s="96"/>
      <c r="E6" s="96"/>
      <c r="F6" s="96">
        <f>SUM(F7:F13)</f>
        <v>2.0099999999999998</v>
      </c>
      <c r="G6" s="96">
        <f>SUM(G7:G13)</f>
        <v>26.25</v>
      </c>
      <c r="H6" s="96">
        <f>SUM(H7:H13)</f>
        <v>21.060000000000002</v>
      </c>
      <c r="I6" s="96"/>
      <c r="J6" s="96"/>
      <c r="K6" s="96"/>
      <c r="L6" s="96">
        <f>SUM(L7:L13)</f>
        <v>958.69999999999993</v>
      </c>
      <c r="M6" s="96">
        <f>SUM(M7:M13)</f>
        <v>6.57</v>
      </c>
      <c r="N6" s="96">
        <f>SUM(N7:N13)</f>
        <v>1015.86</v>
      </c>
      <c r="P6" s="98" t="s">
        <v>150</v>
      </c>
      <c r="Q6" s="123">
        <v>1595.8300000000002</v>
      </c>
      <c r="R6" s="124">
        <f t="shared" ref="R6:R18" si="0">Q6/$Q$18</f>
        <v>0.11104407861867606</v>
      </c>
    </row>
    <row r="7" spans="1:18" x14ac:dyDescent="0.25">
      <c r="A7" s="13" t="s">
        <v>11</v>
      </c>
      <c r="B7" s="14"/>
      <c r="C7" s="14">
        <v>0.24</v>
      </c>
      <c r="D7" s="14"/>
      <c r="E7" s="14"/>
      <c r="F7" s="14"/>
      <c r="G7" s="14">
        <v>0.65</v>
      </c>
      <c r="H7" s="14">
        <v>1.6300000000000001</v>
      </c>
      <c r="I7" s="14"/>
      <c r="J7" s="14"/>
      <c r="K7" s="14"/>
      <c r="L7" s="14">
        <v>5.83</v>
      </c>
      <c r="M7" s="14">
        <v>0.03</v>
      </c>
      <c r="N7" s="109">
        <v>8.3800000000000008</v>
      </c>
      <c r="P7" s="98" t="s">
        <v>151</v>
      </c>
      <c r="Q7" s="123">
        <v>738.55</v>
      </c>
      <c r="R7" s="124">
        <f t="shared" si="0"/>
        <v>5.1391190956319402E-2</v>
      </c>
    </row>
    <row r="8" spans="1:18" x14ac:dyDescent="0.25">
      <c r="A8" s="13" t="s">
        <v>12</v>
      </c>
      <c r="B8" s="14"/>
      <c r="C8" s="14">
        <v>0.81</v>
      </c>
      <c r="D8" s="14"/>
      <c r="E8" s="14"/>
      <c r="F8" s="14"/>
      <c r="G8" s="14">
        <v>0.11</v>
      </c>
      <c r="H8" s="14">
        <v>17.37</v>
      </c>
      <c r="I8" s="14"/>
      <c r="J8" s="14"/>
      <c r="K8" s="14"/>
      <c r="L8" s="14">
        <v>84.09</v>
      </c>
      <c r="M8" s="14"/>
      <c r="N8" s="109">
        <v>102.38000000000001</v>
      </c>
      <c r="P8" s="98" t="s">
        <v>152</v>
      </c>
      <c r="Q8" s="123">
        <v>340.99</v>
      </c>
      <c r="R8" s="133">
        <f>Q8/$Q$18</f>
        <v>2.3727414804949366E-2</v>
      </c>
    </row>
    <row r="9" spans="1:18" x14ac:dyDescent="0.25">
      <c r="A9" s="13" t="s">
        <v>14</v>
      </c>
      <c r="B9" s="14"/>
      <c r="C9" s="14"/>
      <c r="D9" s="14"/>
      <c r="E9" s="14"/>
      <c r="F9" s="14">
        <v>2.0099999999999998</v>
      </c>
      <c r="G9" s="14">
        <v>10.530000000000001</v>
      </c>
      <c r="H9" s="14">
        <v>0.84</v>
      </c>
      <c r="I9" s="14"/>
      <c r="J9" s="14"/>
      <c r="K9" s="14"/>
      <c r="L9" s="14">
        <v>5.6</v>
      </c>
      <c r="M9" s="14">
        <v>1.56</v>
      </c>
      <c r="N9" s="109">
        <v>20.54</v>
      </c>
      <c r="P9" s="98" t="s">
        <v>149</v>
      </c>
      <c r="Q9" s="123">
        <v>331.7</v>
      </c>
      <c r="R9" s="124">
        <f>Q9/$Q$18</f>
        <v>2.3080980353681058E-2</v>
      </c>
    </row>
    <row r="10" spans="1:18" x14ac:dyDescent="0.25">
      <c r="A10" s="13" t="s">
        <v>15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>
        <v>750.9</v>
      </c>
      <c r="M10" s="14"/>
      <c r="N10" s="109">
        <v>750.9</v>
      </c>
      <c r="P10" s="98" t="s">
        <v>154</v>
      </c>
      <c r="Q10" s="123">
        <v>208.15000000000003</v>
      </c>
      <c r="R10" s="130">
        <f>Q10/$Q$18</f>
        <v>1.4483889239127867E-2</v>
      </c>
    </row>
    <row r="11" spans="1:18" x14ac:dyDescent="0.25">
      <c r="A11" s="13" t="s">
        <v>16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>
        <v>0.15</v>
      </c>
      <c r="M11" s="14"/>
      <c r="N11" s="109">
        <v>0.15</v>
      </c>
      <c r="P11" s="98" t="s">
        <v>161</v>
      </c>
      <c r="Q11" s="123">
        <v>61.55</v>
      </c>
      <c r="R11" s="129">
        <f t="shared" si="0"/>
        <v>4.2828891792857076E-3</v>
      </c>
    </row>
    <row r="12" spans="1:18" x14ac:dyDescent="0.25">
      <c r="A12" s="13" t="s">
        <v>17</v>
      </c>
      <c r="B12" s="14"/>
      <c r="C12" s="14"/>
      <c r="D12" s="14"/>
      <c r="E12" s="14"/>
      <c r="F12" s="14"/>
      <c r="G12" s="14">
        <v>14.96</v>
      </c>
      <c r="H12" s="14">
        <v>0.26</v>
      </c>
      <c r="I12" s="14"/>
      <c r="J12" s="14"/>
      <c r="K12" s="14"/>
      <c r="L12" s="14">
        <v>65.800000000000011</v>
      </c>
      <c r="M12" s="14">
        <v>4.9800000000000004</v>
      </c>
      <c r="N12" s="109">
        <v>86</v>
      </c>
      <c r="P12" s="98" t="s">
        <v>162</v>
      </c>
      <c r="Q12" s="123">
        <v>33.050000000000004</v>
      </c>
      <c r="R12" s="129">
        <f t="shared" si="0"/>
        <v>2.2997479671062982E-3</v>
      </c>
    </row>
    <row r="13" spans="1:18" x14ac:dyDescent="0.25">
      <c r="A13" s="13" t="s">
        <v>18</v>
      </c>
      <c r="B13" s="14">
        <v>0.22</v>
      </c>
      <c r="C13" s="14"/>
      <c r="D13" s="14"/>
      <c r="E13" s="14"/>
      <c r="F13" s="14"/>
      <c r="G13" s="14"/>
      <c r="H13" s="14">
        <v>0.96</v>
      </c>
      <c r="I13" s="14"/>
      <c r="J13" s="14"/>
      <c r="K13" s="14"/>
      <c r="L13" s="14">
        <v>46.33</v>
      </c>
      <c r="M13" s="14"/>
      <c r="N13" s="109">
        <v>47.51</v>
      </c>
      <c r="P13" s="98" t="s">
        <v>158</v>
      </c>
      <c r="Q13" s="123">
        <v>29.150000000000002</v>
      </c>
      <c r="R13" s="129">
        <f t="shared" si="0"/>
        <v>2.0283707485975366E-3</v>
      </c>
    </row>
    <row r="14" spans="1:18" x14ac:dyDescent="0.25">
      <c r="A14" s="95" t="s">
        <v>60</v>
      </c>
      <c r="B14" s="96">
        <f>SUM(B15:B17)</f>
        <v>1595.6100000000001</v>
      </c>
      <c r="C14" s="96">
        <f t="shared" ref="C14:N14" si="1">SUM(C15:C17)</f>
        <v>650.20000000000005</v>
      </c>
      <c r="D14" s="96">
        <f t="shared" si="1"/>
        <v>5.23</v>
      </c>
      <c r="E14" s="96">
        <f t="shared" si="1"/>
        <v>208.15000000000003</v>
      </c>
      <c r="F14" s="96">
        <f t="shared" si="1"/>
        <v>330.76</v>
      </c>
      <c r="G14" s="96">
        <f t="shared" si="1"/>
        <v>32.42</v>
      </c>
      <c r="H14" s="96">
        <f t="shared" si="1"/>
        <v>5.22</v>
      </c>
      <c r="I14" s="96">
        <f t="shared" si="1"/>
        <v>26.880000000000003</v>
      </c>
      <c r="J14" s="96">
        <f t="shared" si="1"/>
        <v>27.929999999999996</v>
      </c>
      <c r="K14" s="96">
        <f t="shared" si="1"/>
        <v>17.399999999999999</v>
      </c>
      <c r="L14" s="96">
        <f t="shared" si="1"/>
        <v>4018.9699999999989</v>
      </c>
      <c r="M14" s="96">
        <f>SUM(M15:M17)</f>
        <v>43.89</v>
      </c>
      <c r="N14" s="96">
        <f t="shared" si="1"/>
        <v>6962.6599999999989</v>
      </c>
      <c r="P14" s="98" t="s">
        <v>157</v>
      </c>
      <c r="Q14" s="123">
        <v>27.929999999999996</v>
      </c>
      <c r="R14" s="129">
        <f t="shared" si="0"/>
        <v>1.9434783879358213E-3</v>
      </c>
    </row>
    <row r="15" spans="1:18" x14ac:dyDescent="0.25">
      <c r="A15" s="13" t="s">
        <v>22</v>
      </c>
      <c r="B15" s="14">
        <v>2.9899999999999998</v>
      </c>
      <c r="C15" s="14">
        <v>7.4399999999999995</v>
      </c>
      <c r="D15" s="14">
        <v>5.23</v>
      </c>
      <c r="E15" s="14">
        <v>56.13000000000001</v>
      </c>
      <c r="F15" s="14"/>
      <c r="G15" s="14">
        <v>15.46</v>
      </c>
      <c r="H15" s="14">
        <v>0.46000000000000008</v>
      </c>
      <c r="I15" s="14">
        <v>0.95000000000000007</v>
      </c>
      <c r="J15" s="14"/>
      <c r="K15" s="14"/>
      <c r="L15" s="14">
        <v>82.629999999999967</v>
      </c>
      <c r="M15" s="14">
        <v>1.72</v>
      </c>
      <c r="N15" s="109">
        <v>173.01</v>
      </c>
      <c r="P15" s="98" t="s">
        <v>163</v>
      </c>
      <c r="Q15" s="123">
        <v>17.399999999999999</v>
      </c>
      <c r="R15" s="129">
        <f t="shared" si="0"/>
        <v>1.2107598979621658E-3</v>
      </c>
    </row>
    <row r="16" spans="1:18" x14ac:dyDescent="0.25">
      <c r="A16" s="13" t="s">
        <v>23</v>
      </c>
      <c r="B16" s="14">
        <v>21.669999999999998</v>
      </c>
      <c r="C16" s="14">
        <v>614.18999999999994</v>
      </c>
      <c r="D16" s="14"/>
      <c r="E16" s="14">
        <v>48.41</v>
      </c>
      <c r="F16" s="14">
        <v>307.13</v>
      </c>
      <c r="G16" s="14">
        <v>14.360000000000001</v>
      </c>
      <c r="H16" s="14">
        <v>2.3499999999999996</v>
      </c>
      <c r="I16" s="14">
        <v>10.820000000000002</v>
      </c>
      <c r="J16" s="14">
        <v>4.63</v>
      </c>
      <c r="K16" s="14">
        <v>10.07</v>
      </c>
      <c r="L16" s="14">
        <v>1654.0699999999981</v>
      </c>
      <c r="M16" s="14">
        <v>26.09</v>
      </c>
      <c r="N16" s="109">
        <v>2713.79</v>
      </c>
      <c r="P16" s="98" t="s">
        <v>159</v>
      </c>
      <c r="Q16" s="123">
        <v>10290.23</v>
      </c>
      <c r="R16" s="124">
        <f t="shared" si="0"/>
        <v>0.71603435774754121</v>
      </c>
    </row>
    <row r="17" spans="1:18" x14ac:dyDescent="0.25">
      <c r="A17" s="13" t="s">
        <v>24</v>
      </c>
      <c r="B17" s="14">
        <v>1570.95</v>
      </c>
      <c r="C17" s="14">
        <v>28.570000000000004</v>
      </c>
      <c r="D17" s="14"/>
      <c r="E17" s="14">
        <v>103.61000000000003</v>
      </c>
      <c r="F17" s="14">
        <v>23.630000000000003</v>
      </c>
      <c r="G17" s="14">
        <v>2.6</v>
      </c>
      <c r="H17" s="14">
        <v>2.41</v>
      </c>
      <c r="I17" s="14">
        <v>15.11</v>
      </c>
      <c r="J17" s="14">
        <v>23.299999999999997</v>
      </c>
      <c r="K17" s="14">
        <v>7.33</v>
      </c>
      <c r="L17" s="14">
        <v>2282.2700000000009</v>
      </c>
      <c r="M17" s="14">
        <v>16.079999999999998</v>
      </c>
      <c r="N17" s="109">
        <v>4075.8599999999988</v>
      </c>
      <c r="P17" s="132" t="s">
        <v>300</v>
      </c>
      <c r="Q17" s="123">
        <f>M28</f>
        <v>62.92</v>
      </c>
      <c r="R17" s="130">
        <f t="shared" si="0"/>
        <v>4.378219125274683E-3</v>
      </c>
    </row>
    <row r="18" spans="1:18" x14ac:dyDescent="0.25">
      <c r="A18" s="95" t="s">
        <v>51</v>
      </c>
      <c r="B18" s="96"/>
      <c r="C18" s="96">
        <f>SUM(C19:C21)</f>
        <v>17.2</v>
      </c>
      <c r="D18" s="96"/>
      <c r="E18" s="96"/>
      <c r="F18" s="96">
        <f>F21</f>
        <v>4.6999999999999993</v>
      </c>
      <c r="G18" s="96">
        <f>SUM(G19:G21)</f>
        <v>1.06</v>
      </c>
      <c r="H18" s="96">
        <f>H21</f>
        <v>0.27</v>
      </c>
      <c r="I18" s="96">
        <f>I21</f>
        <v>2.0799999999999996</v>
      </c>
      <c r="J18" s="96"/>
      <c r="K18" s="96"/>
      <c r="L18" s="96">
        <f>SUM(L19:L21)</f>
        <v>3581.1000000000004</v>
      </c>
      <c r="M18" s="96">
        <f>SUM(M19:M21)</f>
        <v>9.7100000000000009</v>
      </c>
      <c r="N18" s="96">
        <f>SUM(N19:N21)</f>
        <v>3616.1200000000008</v>
      </c>
      <c r="P18" s="132" t="s">
        <v>205</v>
      </c>
      <c r="Q18" s="123">
        <v>14371.14</v>
      </c>
      <c r="R18" s="124">
        <f t="shared" si="0"/>
        <v>1</v>
      </c>
    </row>
    <row r="19" spans="1:18" x14ac:dyDescent="0.25">
      <c r="A19" s="13" t="s">
        <v>25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>
        <v>123.37</v>
      </c>
      <c r="M19" s="14"/>
      <c r="N19" s="109">
        <v>123.37</v>
      </c>
    </row>
    <row r="20" spans="1:18" x14ac:dyDescent="0.25">
      <c r="A20" s="13" t="s">
        <v>26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>
        <v>1.73</v>
      </c>
      <c r="M20" s="14"/>
      <c r="N20" s="109">
        <v>1.73</v>
      </c>
    </row>
    <row r="21" spans="1:18" x14ac:dyDescent="0.25">
      <c r="A21" s="13" t="s">
        <v>28</v>
      </c>
      <c r="B21" s="14"/>
      <c r="C21" s="14">
        <v>17.2</v>
      </c>
      <c r="D21" s="14"/>
      <c r="E21" s="14"/>
      <c r="F21" s="14">
        <v>4.6999999999999993</v>
      </c>
      <c r="G21" s="14">
        <v>1.06</v>
      </c>
      <c r="H21" s="14">
        <v>0.27</v>
      </c>
      <c r="I21" s="14">
        <v>2.0799999999999996</v>
      </c>
      <c r="J21" s="14"/>
      <c r="K21" s="14"/>
      <c r="L21" s="14">
        <v>3456.0000000000005</v>
      </c>
      <c r="M21" s="14">
        <v>9.7100000000000009</v>
      </c>
      <c r="N21" s="109">
        <v>3491.0200000000009</v>
      </c>
    </row>
    <row r="22" spans="1:18" x14ac:dyDescent="0.25">
      <c r="A22" s="95" t="s">
        <v>54</v>
      </c>
      <c r="B22" s="96"/>
      <c r="C22" s="96"/>
      <c r="D22" s="96">
        <f>D23</f>
        <v>3.13</v>
      </c>
      <c r="E22" s="96"/>
      <c r="F22" s="96"/>
      <c r="G22" s="96"/>
      <c r="H22" s="96"/>
      <c r="I22" s="96"/>
      <c r="J22" s="96"/>
      <c r="K22" s="96"/>
      <c r="L22" s="96">
        <f>L23</f>
        <v>0.34</v>
      </c>
      <c r="M22" s="96"/>
      <c r="N22" s="96">
        <f>N23</f>
        <v>3.4699999999999998</v>
      </c>
    </row>
    <row r="23" spans="1:18" ht="15.75" customHeight="1" x14ac:dyDescent="0.25">
      <c r="A23" s="13" t="s">
        <v>43</v>
      </c>
      <c r="B23" s="14"/>
      <c r="C23" s="14"/>
      <c r="D23" s="14">
        <v>3.13</v>
      </c>
      <c r="E23" s="14"/>
      <c r="F23" s="14"/>
      <c r="G23" s="14"/>
      <c r="H23" s="14"/>
      <c r="I23" s="14"/>
      <c r="J23" s="14"/>
      <c r="K23" s="14"/>
      <c r="L23" s="14">
        <v>0.34</v>
      </c>
      <c r="M23" s="14"/>
      <c r="N23" s="109">
        <v>3.4699999999999998</v>
      </c>
    </row>
    <row r="24" spans="1:18" ht="15.75" customHeight="1" x14ac:dyDescent="0.25">
      <c r="A24" s="95" t="s">
        <v>75</v>
      </c>
      <c r="B24" s="96"/>
      <c r="C24" s="96"/>
      <c r="D24" s="96"/>
      <c r="E24" s="96"/>
      <c r="F24" s="96">
        <f>F25</f>
        <v>3.36</v>
      </c>
      <c r="G24" s="96"/>
      <c r="H24" s="96"/>
      <c r="I24" s="96"/>
      <c r="J24" s="96"/>
      <c r="K24" s="96"/>
      <c r="L24" s="96">
        <f>L25</f>
        <v>2033.67</v>
      </c>
      <c r="M24" s="96">
        <f>M25</f>
        <v>1.18</v>
      </c>
      <c r="N24" s="96">
        <f>N25</f>
        <v>2038.2099999999998</v>
      </c>
    </row>
    <row r="25" spans="1:18" x14ac:dyDescent="0.25">
      <c r="A25" s="13" t="s">
        <v>76</v>
      </c>
      <c r="B25" s="14"/>
      <c r="C25" s="14"/>
      <c r="D25" s="14"/>
      <c r="E25" s="14"/>
      <c r="F25" s="14">
        <v>3.36</v>
      </c>
      <c r="G25" s="14"/>
      <c r="H25" s="14"/>
      <c r="I25" s="14"/>
      <c r="J25" s="14"/>
      <c r="K25" s="14"/>
      <c r="L25" s="14">
        <v>2033.67</v>
      </c>
      <c r="M25" s="14">
        <v>1.18</v>
      </c>
      <c r="N25" s="109">
        <v>2038.2099999999998</v>
      </c>
    </row>
    <row r="26" spans="1:18" x14ac:dyDescent="0.25">
      <c r="A26" s="95" t="s">
        <v>56</v>
      </c>
      <c r="B26" s="96"/>
      <c r="C26" s="96">
        <f t="shared" ref="C26:N26" si="2">C27</f>
        <v>70.099999999999994</v>
      </c>
      <c r="D26" s="96">
        <f t="shared" si="2"/>
        <v>323.33999999999997</v>
      </c>
      <c r="E26" s="96"/>
      <c r="F26" s="96">
        <f t="shared" si="2"/>
        <v>0.16</v>
      </c>
      <c r="G26" s="96">
        <f t="shared" si="2"/>
        <v>2.2599999999999998</v>
      </c>
      <c r="H26" s="96">
        <f t="shared" si="2"/>
        <v>6.5000000000000009</v>
      </c>
      <c r="I26" s="96">
        <f t="shared" si="2"/>
        <v>0.19</v>
      </c>
      <c r="J26" s="96"/>
      <c r="K26" s="96"/>
      <c r="L26" s="96">
        <f t="shared" si="2"/>
        <v>330.70000000000005</v>
      </c>
      <c r="M26" s="96">
        <f>M27</f>
        <v>1.57</v>
      </c>
      <c r="N26" s="96">
        <f t="shared" si="2"/>
        <v>734.82</v>
      </c>
    </row>
    <row r="27" spans="1:18" x14ac:dyDescent="0.25">
      <c r="A27" s="13" t="s">
        <v>46</v>
      </c>
      <c r="B27" s="14"/>
      <c r="C27" s="14">
        <v>70.099999999999994</v>
      </c>
      <c r="D27" s="14">
        <v>323.33999999999997</v>
      </c>
      <c r="E27" s="14"/>
      <c r="F27" s="14">
        <v>0.16</v>
      </c>
      <c r="G27" s="14">
        <v>2.2599999999999998</v>
      </c>
      <c r="H27" s="14">
        <v>6.5000000000000009</v>
      </c>
      <c r="I27" s="14">
        <v>0.19</v>
      </c>
      <c r="J27" s="14"/>
      <c r="K27" s="14"/>
      <c r="L27" s="14">
        <v>330.70000000000005</v>
      </c>
      <c r="M27" s="14">
        <v>1.57</v>
      </c>
      <c r="N27" s="109">
        <v>734.82</v>
      </c>
    </row>
    <row r="28" spans="1:18" x14ac:dyDescent="0.25">
      <c r="A28" s="112" t="s">
        <v>59</v>
      </c>
      <c r="B28" s="115">
        <f>SUM(B26+B24+B22+B18+B14+B6)</f>
        <v>1595.8300000000002</v>
      </c>
      <c r="C28" s="115">
        <f t="shared" ref="C28:N28" si="3">SUM(C26+C24+C22+C18+C14+C6)</f>
        <v>738.55</v>
      </c>
      <c r="D28" s="115">
        <f t="shared" si="3"/>
        <v>331.7</v>
      </c>
      <c r="E28" s="115">
        <f t="shared" si="3"/>
        <v>208.15000000000003</v>
      </c>
      <c r="F28" s="115">
        <f t="shared" si="3"/>
        <v>340.99</v>
      </c>
      <c r="G28" s="115">
        <f t="shared" si="3"/>
        <v>61.99</v>
      </c>
      <c r="H28" s="115">
        <f t="shared" si="3"/>
        <v>33.050000000000004</v>
      </c>
      <c r="I28" s="115">
        <f t="shared" si="3"/>
        <v>29.150000000000002</v>
      </c>
      <c r="J28" s="115">
        <f t="shared" si="3"/>
        <v>27.929999999999996</v>
      </c>
      <c r="K28" s="115">
        <f t="shared" si="3"/>
        <v>17.399999999999999</v>
      </c>
      <c r="L28" s="115">
        <f t="shared" si="3"/>
        <v>10923.48</v>
      </c>
      <c r="M28" s="115">
        <f t="shared" si="3"/>
        <v>62.92</v>
      </c>
      <c r="N28" s="115">
        <f t="shared" si="3"/>
        <v>14371.14</v>
      </c>
    </row>
    <row r="29" spans="1:18" x14ac:dyDescent="0.25">
      <c r="A29" s="111"/>
    </row>
    <row r="31" spans="1:18" ht="18.75" x14ac:dyDescent="0.3">
      <c r="A31" s="103" t="s">
        <v>108</v>
      </c>
    </row>
    <row r="32" spans="1:18" x14ac:dyDescent="0.25">
      <c r="A32" s="299" t="s">
        <v>94</v>
      </c>
      <c r="B32" s="299" t="s">
        <v>148</v>
      </c>
      <c r="C32" s="299"/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</row>
    <row r="33" spans="1:18" x14ac:dyDescent="0.25">
      <c r="A33" s="299"/>
      <c r="B33" s="99" t="s">
        <v>149</v>
      </c>
      <c r="C33" s="99" t="s">
        <v>150</v>
      </c>
      <c r="D33" s="99" t="s">
        <v>151</v>
      </c>
      <c r="E33" s="99" t="s">
        <v>152</v>
      </c>
      <c r="F33" s="99" t="s">
        <v>153</v>
      </c>
      <c r="G33" s="99" t="s">
        <v>154</v>
      </c>
      <c r="H33" s="99" t="s">
        <v>155</v>
      </c>
      <c r="I33" s="99" t="s">
        <v>156</v>
      </c>
      <c r="J33" s="99" t="s">
        <v>157</v>
      </c>
      <c r="K33" s="99" t="s">
        <v>158</v>
      </c>
      <c r="L33" s="99" t="s">
        <v>159</v>
      </c>
      <c r="M33" s="99" t="s">
        <v>298</v>
      </c>
      <c r="N33" s="105" t="s">
        <v>160</v>
      </c>
    </row>
    <row r="34" spans="1:18" x14ac:dyDescent="0.25">
      <c r="A34" s="106" t="s">
        <v>49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>
        <f>SUM(L35:L40)</f>
        <v>98.660000000000011</v>
      </c>
      <c r="M34" s="108">
        <f>SUM(M35:M40)</f>
        <v>1.48</v>
      </c>
      <c r="N34" s="108">
        <f>SUM(N35:N40)</f>
        <v>100.14</v>
      </c>
    </row>
    <row r="35" spans="1:18" x14ac:dyDescent="0.25">
      <c r="A35" s="13" t="s">
        <v>11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>
        <v>1.96</v>
      </c>
      <c r="M35" s="14"/>
      <c r="N35" s="14">
        <v>1.96</v>
      </c>
    </row>
    <row r="36" spans="1:18" x14ac:dyDescent="0.25">
      <c r="A36" s="13" t="s">
        <v>12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>
        <v>0.19</v>
      </c>
      <c r="M36" s="14"/>
      <c r="N36" s="14">
        <v>0.19</v>
      </c>
      <c r="P36" s="322" t="s">
        <v>209</v>
      </c>
      <c r="Q36" s="323"/>
      <c r="R36" s="324"/>
    </row>
    <row r="37" spans="1:18" x14ac:dyDescent="0.25">
      <c r="A37" s="13" t="s">
        <v>13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>
        <v>0.02</v>
      </c>
      <c r="N37" s="14">
        <v>0.02</v>
      </c>
      <c r="P37" s="99" t="s">
        <v>149</v>
      </c>
      <c r="Q37" s="14">
        <v>35.5</v>
      </c>
      <c r="R37" s="26">
        <f t="shared" ref="R37:R49" si="4">Q37/$Q$49</f>
        <v>4.9584468189119352E-2</v>
      </c>
    </row>
    <row r="38" spans="1:18" x14ac:dyDescent="0.25">
      <c r="A38" s="13" t="s">
        <v>14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>
        <v>0.03</v>
      </c>
      <c r="M38" s="14">
        <v>0.85</v>
      </c>
      <c r="N38" s="14">
        <v>0.88</v>
      </c>
      <c r="P38" s="99" t="s">
        <v>150</v>
      </c>
      <c r="Q38" s="14">
        <v>32.729999999999997</v>
      </c>
      <c r="R38" s="26">
        <f t="shared" si="4"/>
        <v>4.5715482924785243E-2</v>
      </c>
    </row>
    <row r="39" spans="1:18" x14ac:dyDescent="0.25">
      <c r="A39" s="13" t="s">
        <v>15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>
        <v>93.06</v>
      </c>
      <c r="M39" s="14"/>
      <c r="N39" s="14">
        <v>93.06</v>
      </c>
      <c r="P39" s="99" t="s">
        <v>151</v>
      </c>
      <c r="Q39" s="14">
        <v>20.25</v>
      </c>
      <c r="R39" s="26">
        <f t="shared" si="4"/>
        <v>2.8284098051539912E-2</v>
      </c>
    </row>
    <row r="40" spans="1:18" x14ac:dyDescent="0.25">
      <c r="A40" s="13" t="s">
        <v>17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>
        <v>3.42</v>
      </c>
      <c r="M40" s="14">
        <v>0.61</v>
      </c>
      <c r="N40" s="14">
        <v>4.03</v>
      </c>
      <c r="P40" s="99" t="s">
        <v>152</v>
      </c>
      <c r="Q40" s="14">
        <v>2.96</v>
      </c>
      <c r="R40" s="134">
        <f t="shared" si="4"/>
        <v>4.1343669250645991E-3</v>
      </c>
    </row>
    <row r="41" spans="1:18" x14ac:dyDescent="0.25">
      <c r="A41" s="106" t="s">
        <v>60</v>
      </c>
      <c r="B41" s="108">
        <f>SUM(B42:B44)</f>
        <v>0.03</v>
      </c>
      <c r="C41" s="108">
        <f t="shared" ref="C41:N41" si="5">SUM(C42:C44)</f>
        <v>32.729999999999997</v>
      </c>
      <c r="D41" s="108">
        <f t="shared" si="5"/>
        <v>2.9000000000000004</v>
      </c>
      <c r="E41" s="108">
        <f t="shared" si="5"/>
        <v>2.83</v>
      </c>
      <c r="F41" s="108">
        <f t="shared" si="5"/>
        <v>3.5600000000000005</v>
      </c>
      <c r="G41" s="108">
        <f t="shared" si="5"/>
        <v>3.7900000000000005</v>
      </c>
      <c r="H41" s="108">
        <f t="shared" si="5"/>
        <v>0.89</v>
      </c>
      <c r="I41" s="108">
        <f t="shared" si="5"/>
        <v>0.48</v>
      </c>
      <c r="J41" s="108">
        <f t="shared" si="5"/>
        <v>0.31</v>
      </c>
      <c r="K41" s="108">
        <f t="shared" si="5"/>
        <v>0.79</v>
      </c>
      <c r="L41" s="108">
        <f t="shared" si="5"/>
        <v>49.820000000000007</v>
      </c>
      <c r="M41" s="108">
        <f>SUM(M42:M44)</f>
        <v>0.6100000000000001</v>
      </c>
      <c r="N41" s="108">
        <f t="shared" si="5"/>
        <v>98.74</v>
      </c>
      <c r="P41" s="99" t="s">
        <v>153</v>
      </c>
      <c r="Q41" s="14">
        <v>5.9300000000000006</v>
      </c>
      <c r="R41" s="134">
        <f t="shared" si="4"/>
        <v>8.2827013059571207E-3</v>
      </c>
    </row>
    <row r="42" spans="1:18" x14ac:dyDescent="0.25">
      <c r="A42" s="13" t="s">
        <v>22</v>
      </c>
      <c r="B42" s="14">
        <v>0.03</v>
      </c>
      <c r="C42" s="14">
        <v>0.25</v>
      </c>
      <c r="D42" s="14">
        <v>1.03</v>
      </c>
      <c r="E42" s="14">
        <v>0.98</v>
      </c>
      <c r="F42" s="14"/>
      <c r="G42" s="14">
        <v>3.1700000000000004</v>
      </c>
      <c r="H42" s="14">
        <v>0.89</v>
      </c>
      <c r="I42" s="14">
        <v>0.48</v>
      </c>
      <c r="J42" s="14">
        <v>0.05</v>
      </c>
      <c r="K42" s="14"/>
      <c r="L42" s="14">
        <v>13.29</v>
      </c>
      <c r="M42" s="14">
        <v>0.55000000000000004</v>
      </c>
      <c r="N42" s="14">
        <v>20.72</v>
      </c>
      <c r="P42" s="99" t="s">
        <v>154</v>
      </c>
      <c r="Q42" s="14">
        <v>3.7900000000000005</v>
      </c>
      <c r="R42" s="134">
        <f t="shared" si="4"/>
        <v>5.2936657587820384E-3</v>
      </c>
    </row>
    <row r="43" spans="1:18" x14ac:dyDescent="0.25">
      <c r="A43" s="13" t="s">
        <v>23</v>
      </c>
      <c r="B43" s="14"/>
      <c r="C43" s="14">
        <v>0.5</v>
      </c>
      <c r="D43" s="14">
        <v>1.4800000000000002</v>
      </c>
      <c r="E43" s="14">
        <v>1.04</v>
      </c>
      <c r="F43" s="14"/>
      <c r="G43" s="14"/>
      <c r="H43" s="14"/>
      <c r="I43" s="14"/>
      <c r="J43" s="14">
        <v>0.14000000000000001</v>
      </c>
      <c r="K43" s="14">
        <v>0.79</v>
      </c>
      <c r="L43" s="14">
        <v>6.53</v>
      </c>
      <c r="M43" s="14"/>
      <c r="N43" s="14">
        <v>10.48</v>
      </c>
      <c r="P43" s="99" t="s">
        <v>155</v>
      </c>
      <c r="Q43" s="14">
        <v>0.89</v>
      </c>
      <c r="R43" s="134">
        <f t="shared" si="4"/>
        <v>1.2431035686849639E-3</v>
      </c>
    </row>
    <row r="44" spans="1:18" x14ac:dyDescent="0.25">
      <c r="A44" s="13" t="s">
        <v>24</v>
      </c>
      <c r="B44" s="14"/>
      <c r="C44" s="14">
        <v>31.979999999999997</v>
      </c>
      <c r="D44" s="14">
        <v>0.39</v>
      </c>
      <c r="E44" s="14">
        <v>0.80999999999999994</v>
      </c>
      <c r="F44" s="14">
        <v>3.5600000000000005</v>
      </c>
      <c r="G44" s="14">
        <v>0.62000000000000011</v>
      </c>
      <c r="H44" s="14"/>
      <c r="I44" s="14"/>
      <c r="J44" s="14">
        <v>0.12000000000000001</v>
      </c>
      <c r="K44" s="14"/>
      <c r="L44" s="14">
        <v>30.000000000000004</v>
      </c>
      <c r="M44" s="14">
        <v>0.06</v>
      </c>
      <c r="N44" s="14">
        <v>67.539999999999992</v>
      </c>
      <c r="P44" s="99" t="s">
        <v>156</v>
      </c>
      <c r="Q44" s="14">
        <v>0.48</v>
      </c>
      <c r="R44" s="134">
        <f t="shared" si="4"/>
        <v>6.7043787974020524E-4</v>
      </c>
    </row>
    <row r="45" spans="1:18" x14ac:dyDescent="0.25">
      <c r="A45" s="106" t="s">
        <v>51</v>
      </c>
      <c r="B45" s="108"/>
      <c r="C45" s="108"/>
      <c r="D45" s="108">
        <f>SUM(D46:D48)</f>
        <v>3.6</v>
      </c>
      <c r="E45" s="108"/>
      <c r="F45" s="108">
        <f>F48</f>
        <v>1.98</v>
      </c>
      <c r="G45" s="108"/>
      <c r="H45" s="108"/>
      <c r="I45" s="108"/>
      <c r="J45" s="108"/>
      <c r="K45" s="108"/>
      <c r="L45" s="108">
        <f>SUM(L46:L48)</f>
        <v>413.83</v>
      </c>
      <c r="M45" s="108">
        <f>SUM(M46:M48)</f>
        <v>1.08</v>
      </c>
      <c r="N45" s="108">
        <f>SUM(N46:N48)</f>
        <v>420.49</v>
      </c>
      <c r="P45" s="99" t="s">
        <v>157</v>
      </c>
      <c r="Q45" s="14">
        <v>0.31</v>
      </c>
      <c r="R45" s="134">
        <f t="shared" si="4"/>
        <v>4.3299113066554926E-4</v>
      </c>
    </row>
    <row r="46" spans="1:18" x14ac:dyDescent="0.25">
      <c r="A46" s="13" t="s">
        <v>25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>
        <v>0.71</v>
      </c>
      <c r="M46" s="14"/>
      <c r="N46" s="14">
        <v>0.71</v>
      </c>
      <c r="P46" s="99" t="s">
        <v>158</v>
      </c>
      <c r="Q46" s="14">
        <v>0.79</v>
      </c>
      <c r="R46" s="134">
        <f t="shared" si="4"/>
        <v>1.1034290104057546E-3</v>
      </c>
    </row>
    <row r="47" spans="1:18" x14ac:dyDescent="0.25">
      <c r="A47" s="13" t="s">
        <v>27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>
        <v>0.77</v>
      </c>
      <c r="M47" s="14"/>
      <c r="N47" s="14">
        <v>0.77</v>
      </c>
      <c r="P47" s="99" t="s">
        <v>159</v>
      </c>
      <c r="Q47" s="14">
        <v>612.88</v>
      </c>
      <c r="R47" s="26">
        <f t="shared" si="4"/>
        <v>0.85603743278161881</v>
      </c>
    </row>
    <row r="48" spans="1:18" x14ac:dyDescent="0.25">
      <c r="A48" s="13" t="s">
        <v>28</v>
      </c>
      <c r="B48" s="14"/>
      <c r="C48" s="14"/>
      <c r="D48" s="14">
        <v>3.6</v>
      </c>
      <c r="E48" s="14"/>
      <c r="F48" s="14">
        <v>1.98</v>
      </c>
      <c r="G48" s="14"/>
      <c r="H48" s="14"/>
      <c r="I48" s="14"/>
      <c r="J48" s="14"/>
      <c r="K48" s="14"/>
      <c r="L48" s="14">
        <v>412.34999999999997</v>
      </c>
      <c r="M48" s="14">
        <v>1.08</v>
      </c>
      <c r="N48" s="14">
        <v>419.01</v>
      </c>
      <c r="P48" s="264" t="s">
        <v>298</v>
      </c>
      <c r="Q48" s="14">
        <f>M55</f>
        <v>3.17</v>
      </c>
      <c r="R48" s="135">
        <f t="shared" si="4"/>
        <v>4.4276834974509389E-3</v>
      </c>
    </row>
    <row r="49" spans="1:18" x14ac:dyDescent="0.25">
      <c r="A49" s="106" t="s">
        <v>54</v>
      </c>
      <c r="B49" s="148"/>
      <c r="C49" s="148"/>
      <c r="D49" s="148"/>
      <c r="E49" s="148"/>
      <c r="F49" s="108">
        <f>F50</f>
        <v>0.39</v>
      </c>
      <c r="G49" s="148"/>
      <c r="H49" s="148"/>
      <c r="I49" s="148"/>
      <c r="J49" s="148"/>
      <c r="K49" s="148"/>
      <c r="L49" s="148"/>
      <c r="M49" s="148"/>
      <c r="N49" s="108">
        <f>N50</f>
        <v>0.39</v>
      </c>
      <c r="P49" s="99" t="s">
        <v>205</v>
      </c>
      <c r="Q49" s="143">
        <v>715.95</v>
      </c>
      <c r="R49" s="142">
        <f t="shared" si="4"/>
        <v>1</v>
      </c>
    </row>
    <row r="50" spans="1:18" x14ac:dyDescent="0.25">
      <c r="A50" s="13" t="s">
        <v>44</v>
      </c>
      <c r="B50" s="14"/>
      <c r="C50" s="14"/>
      <c r="D50" s="14"/>
      <c r="E50" s="14"/>
      <c r="F50" s="14">
        <v>0.39</v>
      </c>
      <c r="G50" s="14"/>
      <c r="H50" s="14"/>
      <c r="I50" s="14"/>
      <c r="J50" s="14"/>
      <c r="K50" s="14"/>
      <c r="L50" s="14"/>
      <c r="M50" s="14"/>
      <c r="N50" s="14">
        <v>0.39</v>
      </c>
    </row>
    <row r="51" spans="1:18" x14ac:dyDescent="0.25">
      <c r="A51" s="106" t="s">
        <v>75</v>
      </c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>
        <f>L52</f>
        <v>17.899999999999999</v>
      </c>
      <c r="M51" s="108"/>
      <c r="N51" s="108">
        <f>N52</f>
        <v>17.899999999999999</v>
      </c>
    </row>
    <row r="52" spans="1:18" x14ac:dyDescent="0.25">
      <c r="A52" s="13" t="s">
        <v>76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>
        <v>17.899999999999999</v>
      </c>
      <c r="M52" s="14"/>
      <c r="N52" s="14">
        <v>17.899999999999999</v>
      </c>
    </row>
    <row r="53" spans="1:18" x14ac:dyDescent="0.25">
      <c r="A53" s="106" t="s">
        <v>56</v>
      </c>
      <c r="B53" s="108">
        <f>B54</f>
        <v>35.47</v>
      </c>
      <c r="C53" s="108"/>
      <c r="D53" s="108">
        <f>D54</f>
        <v>13.75</v>
      </c>
      <c r="E53" s="108">
        <f>E54</f>
        <v>0.13</v>
      </c>
      <c r="F53" s="108"/>
      <c r="G53" s="108"/>
      <c r="H53" s="108"/>
      <c r="I53" s="108"/>
      <c r="J53" s="108"/>
      <c r="K53" s="108"/>
      <c r="L53" s="108">
        <f>L54</f>
        <v>28.940000000000005</v>
      </c>
      <c r="M53" s="108"/>
      <c r="N53" s="108">
        <f>N54</f>
        <v>78.290000000000006</v>
      </c>
    </row>
    <row r="54" spans="1:18" x14ac:dyDescent="0.25">
      <c r="A54" s="13" t="s">
        <v>46</v>
      </c>
      <c r="B54" s="14">
        <v>35.47</v>
      </c>
      <c r="C54" s="14"/>
      <c r="D54" s="14">
        <v>13.75</v>
      </c>
      <c r="E54" s="14">
        <v>0.13</v>
      </c>
      <c r="F54" s="14"/>
      <c r="G54" s="14"/>
      <c r="H54" s="14"/>
      <c r="I54" s="14"/>
      <c r="J54" s="14"/>
      <c r="K54" s="14"/>
      <c r="L54" s="14">
        <v>28.940000000000005</v>
      </c>
      <c r="M54" s="14"/>
      <c r="N54" s="14">
        <v>78.290000000000006</v>
      </c>
    </row>
    <row r="55" spans="1:18" x14ac:dyDescent="0.25">
      <c r="A55" s="107" t="s">
        <v>59</v>
      </c>
      <c r="B55" s="110">
        <f>SUM(B53+B51+B45+B41+B34)</f>
        <v>35.5</v>
      </c>
      <c r="C55" s="110">
        <f t="shared" ref="C55:L55" si="6">SUM(C53+C51+C45+C41+C34)</f>
        <v>32.729999999999997</v>
      </c>
      <c r="D55" s="110">
        <f t="shared" si="6"/>
        <v>20.25</v>
      </c>
      <c r="E55" s="110">
        <f t="shared" si="6"/>
        <v>2.96</v>
      </c>
      <c r="F55" s="110">
        <f>SUM(F53+F51+F45+F41+F34+F49)</f>
        <v>5.9300000000000006</v>
      </c>
      <c r="G55" s="110">
        <f t="shared" si="6"/>
        <v>3.7900000000000005</v>
      </c>
      <c r="H55" s="110">
        <f t="shared" si="6"/>
        <v>0.89</v>
      </c>
      <c r="I55" s="110">
        <f t="shared" si="6"/>
        <v>0.48</v>
      </c>
      <c r="J55" s="110">
        <f t="shared" si="6"/>
        <v>0.31</v>
      </c>
      <c r="K55" s="110">
        <f t="shared" si="6"/>
        <v>0.79</v>
      </c>
      <c r="L55" s="110">
        <f t="shared" si="6"/>
        <v>609.15</v>
      </c>
      <c r="M55" s="110">
        <f>SUM(M53+M51+M45+M41+M34)</f>
        <v>3.17</v>
      </c>
      <c r="N55" s="110">
        <f>SUM(N53+N51+N45+N41+N34+N49)</f>
        <v>715.95</v>
      </c>
    </row>
  </sheetData>
  <mergeCells count="6">
    <mergeCell ref="P36:R36"/>
    <mergeCell ref="A4:A5"/>
    <mergeCell ref="A32:A33"/>
    <mergeCell ref="B32:N32"/>
    <mergeCell ref="B4:N4"/>
    <mergeCell ref="P5:R5"/>
  </mergeCells>
  <hyperlinks>
    <hyperlink ref="E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topLeftCell="A13" workbookViewId="0">
      <selection activeCell="G27" sqref="G27"/>
    </sheetView>
  </sheetViews>
  <sheetFormatPr baseColWidth="10" defaultRowHeight="15" x14ac:dyDescent="0.25"/>
  <cols>
    <col min="1" max="1" width="25.42578125" bestFit="1" customWidth="1"/>
    <col min="2" max="2" width="17.85546875" customWidth="1"/>
    <col min="3" max="3" width="14.28515625" bestFit="1" customWidth="1"/>
    <col min="4" max="4" width="18.28515625" bestFit="1" customWidth="1"/>
    <col min="5" max="5" width="19.85546875" customWidth="1"/>
    <col min="6" max="6" width="15.5703125" customWidth="1"/>
  </cols>
  <sheetData>
    <row r="1" spans="1:8" x14ac:dyDescent="0.25">
      <c r="A1" s="273"/>
      <c r="B1" s="273"/>
      <c r="C1" s="2" t="s">
        <v>0</v>
      </c>
      <c r="D1" s="176" t="s">
        <v>1</v>
      </c>
      <c r="E1" s="2" t="s">
        <v>216</v>
      </c>
      <c r="F1" t="s">
        <v>231</v>
      </c>
    </row>
    <row r="2" spans="1:8" x14ac:dyDescent="0.25">
      <c r="A2" s="273"/>
      <c r="B2" s="273"/>
      <c r="C2" s="2"/>
      <c r="D2" s="176"/>
      <c r="E2" s="2"/>
      <c r="F2" t="s">
        <v>321</v>
      </c>
    </row>
    <row r="3" spans="1:8" ht="18.75" x14ac:dyDescent="0.3">
      <c r="A3" s="269" t="s">
        <v>309</v>
      </c>
      <c r="B3" s="273"/>
      <c r="C3" s="273"/>
      <c r="D3" s="273"/>
      <c r="E3" s="273"/>
      <c r="G3" s="273"/>
      <c r="H3" s="273"/>
    </row>
    <row r="4" spans="1:8" x14ac:dyDescent="0.25">
      <c r="A4" s="327" t="s">
        <v>148</v>
      </c>
      <c r="B4" s="327" t="s">
        <v>311</v>
      </c>
      <c r="C4" s="327" t="s">
        <v>313</v>
      </c>
      <c r="D4" s="327" t="s">
        <v>148</v>
      </c>
      <c r="E4" s="327" t="s">
        <v>312</v>
      </c>
      <c r="F4" s="327" t="s">
        <v>310</v>
      </c>
      <c r="G4" s="273"/>
      <c r="H4" s="273"/>
    </row>
    <row r="5" spans="1:8" ht="32.25" customHeight="1" x14ac:dyDescent="0.25">
      <c r="A5" s="327"/>
      <c r="B5" s="327"/>
      <c r="C5" s="327"/>
      <c r="D5" s="327"/>
      <c r="E5" s="327"/>
      <c r="F5" s="327"/>
      <c r="G5" s="273"/>
      <c r="H5" s="273"/>
    </row>
    <row r="6" spans="1:8" x14ac:dyDescent="0.25">
      <c r="A6" s="277" t="s">
        <v>176</v>
      </c>
      <c r="B6" s="275">
        <v>107745.71</v>
      </c>
      <c r="C6" s="279">
        <f>B6/$B$26</f>
        <v>0.26609819901025822</v>
      </c>
      <c r="D6" s="277" t="s">
        <v>176</v>
      </c>
      <c r="E6" s="275">
        <v>29014.879999999997</v>
      </c>
      <c r="F6" s="279">
        <f>E6/$E$26</f>
        <v>0.35962571998259307</v>
      </c>
      <c r="G6" s="283"/>
      <c r="H6" s="273"/>
    </row>
    <row r="7" spans="1:8" x14ac:dyDescent="0.25">
      <c r="A7" s="277" t="s">
        <v>183</v>
      </c>
      <c r="B7" s="275">
        <v>76672.589999999895</v>
      </c>
      <c r="C7" s="279">
        <f t="shared" ref="C7:C26" si="0">B7/$B$26</f>
        <v>0.18935731281043025</v>
      </c>
      <c r="D7" s="277" t="s">
        <v>178</v>
      </c>
      <c r="E7" s="275">
        <v>16185.31</v>
      </c>
      <c r="F7" s="279">
        <f t="shared" ref="F7:F25" si="1">E7/$E$26</f>
        <v>0.20060926538008994</v>
      </c>
      <c r="G7" s="283"/>
      <c r="H7" s="273"/>
    </row>
    <row r="8" spans="1:8" x14ac:dyDescent="0.25">
      <c r="A8" s="277" t="s">
        <v>177</v>
      </c>
      <c r="B8" s="275">
        <v>53013.980000000091</v>
      </c>
      <c r="C8" s="279">
        <f t="shared" si="0"/>
        <v>0.13092794692583001</v>
      </c>
      <c r="D8" s="277" t="s">
        <v>184</v>
      </c>
      <c r="E8" s="275">
        <v>6523.9699999999993</v>
      </c>
      <c r="F8" s="279">
        <f t="shared" si="1"/>
        <v>8.0861523755908618E-2</v>
      </c>
      <c r="G8" s="283"/>
      <c r="H8" s="273"/>
    </row>
    <row r="9" spans="1:8" x14ac:dyDescent="0.25">
      <c r="A9" s="277" t="s">
        <v>179</v>
      </c>
      <c r="B9" s="275">
        <v>37701.450000000026</v>
      </c>
      <c r="C9" s="279">
        <f t="shared" si="0"/>
        <v>9.3110787845523554E-2</v>
      </c>
      <c r="D9" s="277" t="s">
        <v>187</v>
      </c>
      <c r="E9" s="275">
        <v>3660.4599999999996</v>
      </c>
      <c r="F9" s="279">
        <f t="shared" si="1"/>
        <v>4.5369671112459625E-2</v>
      </c>
      <c r="G9" s="283"/>
      <c r="H9" s="273"/>
    </row>
    <row r="10" spans="1:8" x14ac:dyDescent="0.25">
      <c r="A10" s="277" t="s">
        <v>180</v>
      </c>
      <c r="B10" s="275">
        <v>17114.469999999987</v>
      </c>
      <c r="C10" s="279">
        <f t="shared" si="0"/>
        <v>4.2267387202841671E-2</v>
      </c>
      <c r="D10" s="277" t="s">
        <v>185</v>
      </c>
      <c r="E10" s="275">
        <v>3619.1900000000014</v>
      </c>
      <c r="F10" s="279">
        <f t="shared" si="1"/>
        <v>4.4858148974036824E-2</v>
      </c>
      <c r="G10" s="283"/>
      <c r="H10" s="273"/>
    </row>
    <row r="11" spans="1:8" x14ac:dyDescent="0.25">
      <c r="A11" s="277" t="s">
        <v>178</v>
      </c>
      <c r="B11" s="275">
        <v>11655.150000000009</v>
      </c>
      <c r="C11" s="279">
        <f t="shared" si="0"/>
        <v>2.8784574570944986E-2</v>
      </c>
      <c r="D11" s="277" t="s">
        <v>303</v>
      </c>
      <c r="E11" s="275">
        <v>2972.7700000000009</v>
      </c>
      <c r="F11" s="279">
        <f t="shared" si="1"/>
        <v>3.6846078687647638E-2</v>
      </c>
      <c r="G11" s="283"/>
      <c r="H11" s="273"/>
    </row>
    <row r="12" spans="1:8" x14ac:dyDescent="0.25">
      <c r="A12" s="277" t="s">
        <v>185</v>
      </c>
      <c r="B12" s="275">
        <v>9163.5500000000029</v>
      </c>
      <c r="C12" s="279">
        <f t="shared" si="0"/>
        <v>2.2631101985781634E-2</v>
      </c>
      <c r="D12" s="277" t="s">
        <v>183</v>
      </c>
      <c r="E12" s="275">
        <v>2520.2799999999997</v>
      </c>
      <c r="F12" s="279">
        <f t="shared" si="1"/>
        <v>3.1237679065284078E-2</v>
      </c>
      <c r="G12" s="283"/>
      <c r="H12" s="273"/>
    </row>
    <row r="13" spans="1:8" x14ac:dyDescent="0.25">
      <c r="A13" s="277" t="s">
        <v>181</v>
      </c>
      <c r="B13" s="275">
        <v>8952.0799999999945</v>
      </c>
      <c r="C13" s="279">
        <f t="shared" si="0"/>
        <v>2.210883723719256E-2</v>
      </c>
      <c r="D13" s="277" t="s">
        <v>188</v>
      </c>
      <c r="E13" s="275">
        <v>1942.2299999999993</v>
      </c>
      <c r="F13" s="279">
        <f t="shared" si="1"/>
        <v>2.4073022605014791E-2</v>
      </c>
      <c r="G13" s="283"/>
      <c r="H13" s="273"/>
    </row>
    <row r="14" spans="1:8" x14ac:dyDescent="0.25">
      <c r="A14" s="277" t="s">
        <v>182</v>
      </c>
      <c r="B14" s="275">
        <v>8075.1200000000017</v>
      </c>
      <c r="C14" s="279">
        <f t="shared" si="0"/>
        <v>1.9943020365188708E-2</v>
      </c>
      <c r="D14" s="277" t="s">
        <v>186</v>
      </c>
      <c r="E14" s="275">
        <v>1221.5299999999995</v>
      </c>
      <c r="F14" s="279">
        <f t="shared" si="1"/>
        <v>1.5140286836627853E-2</v>
      </c>
      <c r="G14" s="283"/>
      <c r="H14" s="273"/>
    </row>
    <row r="15" spans="1:8" x14ac:dyDescent="0.25">
      <c r="A15" s="277" t="s">
        <v>304</v>
      </c>
      <c r="B15" s="275">
        <v>3568.2799999999997</v>
      </c>
      <c r="C15" s="279">
        <f t="shared" si="0"/>
        <v>8.8125353813560091E-3</v>
      </c>
      <c r="D15" s="277" t="s">
        <v>179</v>
      </c>
      <c r="E15" s="275">
        <v>845.18999999999994</v>
      </c>
      <c r="F15" s="279">
        <f t="shared" si="1"/>
        <v>1.047573046216589E-2</v>
      </c>
      <c r="G15" s="283"/>
      <c r="H15" s="273"/>
    </row>
    <row r="16" spans="1:8" x14ac:dyDescent="0.25">
      <c r="A16" s="277" t="s">
        <v>303</v>
      </c>
      <c r="B16" s="275">
        <v>3402.0400000000036</v>
      </c>
      <c r="C16" s="279">
        <f t="shared" si="0"/>
        <v>8.4019745840540633E-3</v>
      </c>
      <c r="D16" s="277" t="s">
        <v>304</v>
      </c>
      <c r="E16" s="275">
        <v>782.12</v>
      </c>
      <c r="F16" s="279">
        <f t="shared" si="1"/>
        <v>9.6940076303188467E-3</v>
      </c>
      <c r="G16" s="283"/>
      <c r="H16" s="273"/>
    </row>
    <row r="17" spans="1:8" x14ac:dyDescent="0.25">
      <c r="A17" s="277" t="s">
        <v>188</v>
      </c>
      <c r="B17" s="275">
        <v>2889.9900000000007</v>
      </c>
      <c r="C17" s="279">
        <f t="shared" si="0"/>
        <v>7.137371261998795E-3</v>
      </c>
      <c r="D17" s="277" t="s">
        <v>305</v>
      </c>
      <c r="E17" s="275">
        <v>750.3100000000004</v>
      </c>
      <c r="F17" s="279">
        <f t="shared" si="1"/>
        <v>9.2997377194094753E-3</v>
      </c>
      <c r="G17" s="283"/>
      <c r="H17" s="273"/>
    </row>
    <row r="18" spans="1:8" x14ac:dyDescent="0.25">
      <c r="A18" s="277" t="s">
        <v>186</v>
      </c>
      <c r="B18" s="275">
        <v>2840.3499999999967</v>
      </c>
      <c r="C18" s="279">
        <f t="shared" si="0"/>
        <v>7.0147759902346547E-3</v>
      </c>
      <c r="D18" s="277" t="s">
        <v>177</v>
      </c>
      <c r="E18" s="275">
        <v>628.60999999999979</v>
      </c>
      <c r="F18" s="279">
        <f t="shared" si="1"/>
        <v>7.7913237565779272E-3</v>
      </c>
      <c r="G18" s="283"/>
      <c r="H18" s="273"/>
    </row>
    <row r="19" spans="1:8" x14ac:dyDescent="0.25">
      <c r="A19" s="277" t="s">
        <v>306</v>
      </c>
      <c r="B19" s="275">
        <v>2800.0600000000031</v>
      </c>
      <c r="C19" s="279">
        <f t="shared" si="0"/>
        <v>6.9152722936315922E-3</v>
      </c>
      <c r="D19" s="277" t="s">
        <v>319</v>
      </c>
      <c r="E19" s="275">
        <v>503</v>
      </c>
      <c r="F19" s="279">
        <f t="shared" si="1"/>
        <v>6.2344471923111294E-3</v>
      </c>
      <c r="G19" s="283"/>
      <c r="H19" s="273"/>
    </row>
    <row r="20" spans="1:8" x14ac:dyDescent="0.25">
      <c r="A20" s="277" t="s">
        <v>184</v>
      </c>
      <c r="B20" s="275">
        <v>2790.7</v>
      </c>
      <c r="C20" s="279">
        <f t="shared" si="0"/>
        <v>6.892156021598702E-3</v>
      </c>
      <c r="D20" s="277" t="s">
        <v>306</v>
      </c>
      <c r="E20" s="275">
        <v>371.22</v>
      </c>
      <c r="F20" s="279">
        <f t="shared" si="1"/>
        <v>4.6010963950889414E-3</v>
      </c>
      <c r="G20" s="283"/>
      <c r="H20" s="273"/>
    </row>
    <row r="21" spans="1:8" x14ac:dyDescent="0.25">
      <c r="A21" s="277" t="s">
        <v>187</v>
      </c>
      <c r="B21" s="275">
        <v>2162.3999999999996</v>
      </c>
      <c r="C21" s="279">
        <f t="shared" si="0"/>
        <v>5.3404515645196658E-3</v>
      </c>
      <c r="D21" s="277" t="s">
        <v>181</v>
      </c>
      <c r="E21" s="275">
        <v>359.62</v>
      </c>
      <c r="F21" s="279">
        <f t="shared" si="1"/>
        <v>4.4573198793219247E-3</v>
      </c>
      <c r="G21" s="283"/>
      <c r="H21" s="273"/>
    </row>
    <row r="22" spans="1:8" x14ac:dyDescent="0.25">
      <c r="A22" s="277" t="s">
        <v>305</v>
      </c>
      <c r="B22" s="275">
        <v>1897.1199999999994</v>
      </c>
      <c r="C22" s="279">
        <f t="shared" si="0"/>
        <v>4.6852929486133682E-3</v>
      </c>
      <c r="D22" s="277" t="s">
        <v>182</v>
      </c>
      <c r="E22" s="275">
        <v>99.690000000000012</v>
      </c>
      <c r="F22" s="279">
        <f t="shared" si="1"/>
        <v>1.2356104186908479E-3</v>
      </c>
      <c r="G22" s="283"/>
      <c r="H22" s="273"/>
    </row>
    <row r="23" spans="1:8" x14ac:dyDescent="0.25">
      <c r="A23" s="277" t="s">
        <v>307</v>
      </c>
      <c r="B23" s="275">
        <v>5.83</v>
      </c>
      <c r="C23" s="279">
        <f t="shared" si="0"/>
        <v>1.4398276276891259E-5</v>
      </c>
      <c r="D23" s="277" t="s">
        <v>307</v>
      </c>
      <c r="E23" s="275">
        <v>4.59</v>
      </c>
      <c r="F23" s="279">
        <f t="shared" si="1"/>
        <v>5.6890879945741712E-5</v>
      </c>
      <c r="G23" s="283"/>
      <c r="H23" s="273"/>
    </row>
    <row r="24" spans="1:8" x14ac:dyDescent="0.25">
      <c r="A24" s="274" t="s">
        <v>159</v>
      </c>
      <c r="B24" s="275">
        <v>32520.619999999988</v>
      </c>
      <c r="C24" s="279">
        <f t="shared" si="0"/>
        <v>8.0315758397220452E-2</v>
      </c>
      <c r="D24" s="274" t="s">
        <v>159</v>
      </c>
      <c r="E24" s="275">
        <v>5731.29</v>
      </c>
      <c r="F24" s="279">
        <f t="shared" si="1"/>
        <v>7.1036629918132907E-2</v>
      </c>
      <c r="G24" s="283"/>
      <c r="H24" s="273"/>
    </row>
    <row r="25" spans="1:8" x14ac:dyDescent="0.25">
      <c r="A25" s="274" t="s">
        <v>308</v>
      </c>
      <c r="B25" s="275">
        <f>B26-SUM(B6:B24)</f>
        <v>19938.089999999735</v>
      </c>
      <c r="C25" s="279">
        <f t="shared" si="0"/>
        <v>4.9240845326504121E-2</v>
      </c>
      <c r="D25" s="274" t="s">
        <v>308</v>
      </c>
      <c r="E25" s="275">
        <f>E26-SUM(E6:E24)</f>
        <v>2944.5100000000239</v>
      </c>
      <c r="F25" s="279">
        <f t="shared" si="1"/>
        <v>3.6495809348374139E-2</v>
      </c>
      <c r="G25" s="283"/>
      <c r="H25" s="273"/>
    </row>
    <row r="26" spans="1:8" x14ac:dyDescent="0.25">
      <c r="A26" s="274" t="s">
        <v>160</v>
      </c>
      <c r="B26" s="275">
        <v>404909.57999999978</v>
      </c>
      <c r="C26" s="279">
        <f t="shared" si="0"/>
        <v>1</v>
      </c>
      <c r="D26" s="274" t="s">
        <v>160</v>
      </c>
      <c r="E26" s="275">
        <v>80680.77</v>
      </c>
      <c r="F26" s="279">
        <f>E26/$E$26</f>
        <v>1</v>
      </c>
      <c r="G26" s="283"/>
      <c r="H26" s="273"/>
    </row>
    <row r="27" spans="1:8" x14ac:dyDescent="0.25">
      <c r="A27" s="273"/>
      <c r="B27" s="273"/>
      <c r="C27" s="273"/>
      <c r="D27" s="273"/>
      <c r="E27" s="273"/>
      <c r="F27" s="273"/>
      <c r="G27" s="273"/>
      <c r="H27" s="273"/>
    </row>
    <row r="28" spans="1:8" x14ac:dyDescent="0.25">
      <c r="A28" s="273"/>
      <c r="B28" s="273"/>
      <c r="C28" s="273"/>
      <c r="D28" s="273"/>
      <c r="E28" s="273"/>
      <c r="F28" s="273"/>
      <c r="G28" s="273"/>
      <c r="H28" s="273"/>
    </row>
    <row r="29" spans="1:8" x14ac:dyDescent="0.25">
      <c r="A29" s="273"/>
      <c r="B29" s="273"/>
      <c r="C29" s="273"/>
      <c r="D29" s="273"/>
      <c r="E29" s="273"/>
      <c r="F29" s="273"/>
      <c r="G29" s="273"/>
      <c r="H29" s="273"/>
    </row>
    <row r="30" spans="1:8" ht="18.75" x14ac:dyDescent="0.3">
      <c r="A30" s="270" t="s">
        <v>314</v>
      </c>
      <c r="B30" s="273"/>
      <c r="C30" s="273"/>
      <c r="D30" s="273"/>
      <c r="E30" s="273"/>
      <c r="F30" s="273"/>
      <c r="G30" s="273"/>
      <c r="H30" s="273"/>
    </row>
    <row r="31" spans="1:8" x14ac:dyDescent="0.25">
      <c r="A31" s="300" t="s">
        <v>148</v>
      </c>
      <c r="B31" s="300" t="s">
        <v>316</v>
      </c>
      <c r="C31" s="300" t="s">
        <v>313</v>
      </c>
      <c r="D31" s="300" t="s">
        <v>148</v>
      </c>
      <c r="E31" s="300" t="s">
        <v>315</v>
      </c>
      <c r="F31" s="300" t="s">
        <v>310</v>
      </c>
      <c r="G31" s="273"/>
      <c r="H31" s="273"/>
    </row>
    <row r="32" spans="1:8" x14ac:dyDescent="0.25">
      <c r="A32" s="300"/>
      <c r="B32" s="300"/>
      <c r="C32" s="300"/>
      <c r="D32" s="300"/>
      <c r="E32" s="300"/>
      <c r="F32" s="300"/>
      <c r="G32" s="273"/>
      <c r="H32" s="273"/>
    </row>
    <row r="33" spans="1:8" x14ac:dyDescent="0.25">
      <c r="A33" s="276" t="s">
        <v>176</v>
      </c>
      <c r="B33" s="275">
        <v>18958.989999999991</v>
      </c>
      <c r="C33" s="279">
        <f>B33/$B$53</f>
        <v>0.25944975657499314</v>
      </c>
      <c r="D33" s="276" t="s">
        <v>178</v>
      </c>
      <c r="E33" s="275">
        <v>6473.5499999999993</v>
      </c>
      <c r="F33" s="279">
        <f>E33/$E$53</f>
        <v>0.24801476698438815</v>
      </c>
      <c r="G33" s="273"/>
      <c r="H33" s="273"/>
    </row>
    <row r="34" spans="1:8" x14ac:dyDescent="0.25">
      <c r="A34" s="276" t="s">
        <v>178</v>
      </c>
      <c r="B34" s="275">
        <v>10061.969999999987</v>
      </c>
      <c r="C34" s="279">
        <f t="shared" ref="C34:C53" si="2">B34/$B$53</f>
        <v>0.13769592510808232</v>
      </c>
      <c r="D34" s="276" t="s">
        <v>176</v>
      </c>
      <c r="E34" s="275">
        <v>3268.4699999999993</v>
      </c>
      <c r="F34" s="279">
        <f t="shared" ref="F34:F53" si="3">E34/$E$53</f>
        <v>0.12522168291670924</v>
      </c>
      <c r="G34" s="273"/>
      <c r="H34" s="273"/>
    </row>
    <row r="35" spans="1:8" x14ac:dyDescent="0.25">
      <c r="A35" s="276" t="s">
        <v>185</v>
      </c>
      <c r="B35" s="275">
        <v>5371.8099999999949</v>
      </c>
      <c r="C35" s="279">
        <f t="shared" si="2"/>
        <v>7.3512080383349179E-2</v>
      </c>
      <c r="D35" s="276" t="s">
        <v>184</v>
      </c>
      <c r="E35" s="275">
        <v>3067.2499999999995</v>
      </c>
      <c r="F35" s="279">
        <f t="shared" si="3"/>
        <v>0.11751253856583553</v>
      </c>
    </row>
    <row r="36" spans="1:8" x14ac:dyDescent="0.25">
      <c r="A36" s="276" t="s">
        <v>183</v>
      </c>
      <c r="B36" s="275">
        <v>5370.3399999999947</v>
      </c>
      <c r="C36" s="279">
        <f t="shared" si="2"/>
        <v>7.3491963745165104E-2</v>
      </c>
      <c r="D36" s="276" t="s">
        <v>188</v>
      </c>
      <c r="E36" s="275">
        <v>2255.44</v>
      </c>
      <c r="F36" s="279">
        <f t="shared" si="3"/>
        <v>8.6410458874538465E-2</v>
      </c>
    </row>
    <row r="37" spans="1:8" x14ac:dyDescent="0.25">
      <c r="A37" s="276" t="s">
        <v>186</v>
      </c>
      <c r="B37" s="275">
        <v>3934.6200000000013</v>
      </c>
      <c r="C37" s="279">
        <f t="shared" si="2"/>
        <v>5.3844440089640865E-2</v>
      </c>
      <c r="D37" s="276" t="s">
        <v>187</v>
      </c>
      <c r="E37" s="275">
        <v>2220.8099999999995</v>
      </c>
      <c r="F37" s="279">
        <f t="shared" si="3"/>
        <v>8.5083713675896386E-2</v>
      </c>
    </row>
    <row r="38" spans="1:8" x14ac:dyDescent="0.25">
      <c r="A38" s="276" t="s">
        <v>188</v>
      </c>
      <c r="B38" s="275">
        <v>3496.9300000000003</v>
      </c>
      <c r="C38" s="279">
        <f t="shared" si="2"/>
        <v>4.7854745282306245E-2</v>
      </c>
      <c r="D38" s="276" t="s">
        <v>185</v>
      </c>
      <c r="E38" s="275">
        <v>1622.3</v>
      </c>
      <c r="F38" s="279">
        <f t="shared" si="3"/>
        <v>6.2153587518250876E-2</v>
      </c>
    </row>
    <row r="39" spans="1:8" x14ac:dyDescent="0.25">
      <c r="A39" s="276" t="s">
        <v>184</v>
      </c>
      <c r="B39" s="275">
        <v>2184.8299999999995</v>
      </c>
      <c r="C39" s="279">
        <f t="shared" si="2"/>
        <v>2.9898935104546307E-2</v>
      </c>
      <c r="D39" s="276" t="s">
        <v>186</v>
      </c>
      <c r="E39" s="275">
        <v>1283.6500000000001</v>
      </c>
      <c r="F39" s="279">
        <f t="shared" si="3"/>
        <v>4.9179222472910525E-2</v>
      </c>
    </row>
    <row r="40" spans="1:8" x14ac:dyDescent="0.25">
      <c r="A40" s="276" t="s">
        <v>187</v>
      </c>
      <c r="B40" s="275">
        <v>2155.6799999999998</v>
      </c>
      <c r="C40" s="279">
        <f t="shared" si="2"/>
        <v>2.9500023537835159E-2</v>
      </c>
      <c r="D40" s="276" t="s">
        <v>305</v>
      </c>
      <c r="E40" s="275">
        <v>1012.29</v>
      </c>
      <c r="F40" s="279">
        <f t="shared" si="3"/>
        <v>3.8782873148523807E-2</v>
      </c>
    </row>
    <row r="41" spans="1:8" x14ac:dyDescent="0.25">
      <c r="A41" s="276" t="s">
        <v>177</v>
      </c>
      <c r="B41" s="275">
        <v>2090.7099999999978</v>
      </c>
      <c r="C41" s="279">
        <f t="shared" si="2"/>
        <v>2.8610922869251133E-2</v>
      </c>
      <c r="D41" s="276" t="s">
        <v>303</v>
      </c>
      <c r="E41" s="275">
        <v>536.88000000000022</v>
      </c>
      <c r="F41" s="279">
        <f t="shared" si="3"/>
        <v>2.0568956461072888E-2</v>
      </c>
    </row>
    <row r="42" spans="1:8" x14ac:dyDescent="0.25">
      <c r="A42" s="276" t="s">
        <v>180</v>
      </c>
      <c r="B42" s="275">
        <v>2070.8199999999997</v>
      </c>
      <c r="C42" s="279">
        <f t="shared" si="2"/>
        <v>2.8338732438311715E-2</v>
      </c>
      <c r="D42" s="276" t="s">
        <v>307</v>
      </c>
      <c r="E42" s="275">
        <v>478.97</v>
      </c>
      <c r="F42" s="279">
        <f t="shared" si="3"/>
        <v>1.8350307473104004E-2</v>
      </c>
    </row>
    <row r="43" spans="1:8" x14ac:dyDescent="0.25">
      <c r="A43" s="276" t="s">
        <v>179</v>
      </c>
      <c r="B43" s="275">
        <v>2065.1699999999983</v>
      </c>
      <c r="C43" s="279">
        <f t="shared" si="2"/>
        <v>2.8261413386787924E-2</v>
      </c>
      <c r="D43" s="276" t="s">
        <v>304</v>
      </c>
      <c r="E43" s="275">
        <v>416.36999999999989</v>
      </c>
      <c r="F43" s="279">
        <f t="shared" si="3"/>
        <v>1.5951975118642735E-2</v>
      </c>
    </row>
    <row r="44" spans="1:8" x14ac:dyDescent="0.25">
      <c r="A44" s="276" t="s">
        <v>304</v>
      </c>
      <c r="B44" s="275">
        <v>1655.8699999999988</v>
      </c>
      <c r="C44" s="279">
        <f t="shared" si="2"/>
        <v>2.2660229707375433E-2</v>
      </c>
      <c r="D44" s="276" t="s">
        <v>183</v>
      </c>
      <c r="E44" s="275">
        <v>363.47000000000014</v>
      </c>
      <c r="F44" s="279">
        <f t="shared" si="3"/>
        <v>1.3925269343067655E-2</v>
      </c>
    </row>
    <row r="45" spans="1:8" x14ac:dyDescent="0.25">
      <c r="A45" s="276" t="s">
        <v>305</v>
      </c>
      <c r="B45" s="275">
        <v>1361.6200000000001</v>
      </c>
      <c r="C45" s="279">
        <f t="shared" si="2"/>
        <v>1.8633480873593074E-2</v>
      </c>
      <c r="D45" s="276" t="s">
        <v>306</v>
      </c>
      <c r="E45" s="275">
        <v>299.81</v>
      </c>
      <c r="F45" s="279">
        <f t="shared" si="3"/>
        <v>1.1486326249058001E-2</v>
      </c>
    </row>
    <row r="46" spans="1:8" x14ac:dyDescent="0.25">
      <c r="A46" s="276" t="s">
        <v>181</v>
      </c>
      <c r="B46" s="275">
        <v>1361.95</v>
      </c>
      <c r="C46" s="279">
        <f t="shared" si="2"/>
        <v>1.8637996853593575E-2</v>
      </c>
      <c r="D46" s="276" t="s">
        <v>179</v>
      </c>
      <c r="E46" s="275">
        <v>159.26</v>
      </c>
      <c r="F46" s="279">
        <f t="shared" si="3"/>
        <v>6.1015720570527241E-3</v>
      </c>
    </row>
    <row r="47" spans="1:8" x14ac:dyDescent="0.25">
      <c r="A47" s="276" t="s">
        <v>303</v>
      </c>
      <c r="B47" s="275">
        <v>901.51000000000056</v>
      </c>
      <c r="C47" s="279">
        <f t="shared" si="2"/>
        <v>1.233697312198183E-2</v>
      </c>
      <c r="D47" s="276" t="s">
        <v>177</v>
      </c>
      <c r="E47" s="275">
        <v>70.33</v>
      </c>
      <c r="F47" s="279">
        <f t="shared" si="3"/>
        <v>2.6944842570169416E-3</v>
      </c>
    </row>
    <row r="48" spans="1:8" x14ac:dyDescent="0.25">
      <c r="A48" s="276" t="s">
        <v>306</v>
      </c>
      <c r="B48" s="275">
        <v>895.25999999999954</v>
      </c>
      <c r="C48" s="279">
        <f t="shared" si="2"/>
        <v>1.2251443197729854E-2</v>
      </c>
      <c r="D48" s="276" t="s">
        <v>181</v>
      </c>
      <c r="E48" s="275">
        <v>43.84</v>
      </c>
      <c r="F48" s="279">
        <f t="shared" si="3"/>
        <v>1.6795988884917208E-3</v>
      </c>
    </row>
    <row r="49" spans="1:6" x14ac:dyDescent="0.25">
      <c r="A49" s="276" t="s">
        <v>307</v>
      </c>
      <c r="B49" s="275">
        <v>230.18</v>
      </c>
      <c r="C49" s="279">
        <f t="shared" si="2"/>
        <v>3.1499644742906635E-3</v>
      </c>
      <c r="D49" s="276" t="s">
        <v>180</v>
      </c>
      <c r="E49" s="275">
        <v>31.299999999999997</v>
      </c>
      <c r="F49" s="279">
        <f t="shared" si="3"/>
        <v>1.1991661772306308E-3</v>
      </c>
    </row>
    <row r="50" spans="1:6" x14ac:dyDescent="0.25">
      <c r="A50" s="276" t="s">
        <v>182</v>
      </c>
      <c r="B50" s="275">
        <v>200.50000000000006</v>
      </c>
      <c r="C50" s="279">
        <f t="shared" si="2"/>
        <v>2.7437999700029463E-3</v>
      </c>
      <c r="D50" s="276" t="s">
        <v>182</v>
      </c>
      <c r="E50" s="275">
        <v>13.280000000000001</v>
      </c>
      <c r="F50" s="279">
        <f t="shared" si="3"/>
        <v>5.0878360490807606E-4</v>
      </c>
    </row>
    <row r="51" spans="1:6" x14ac:dyDescent="0.25">
      <c r="A51" s="276" t="s">
        <v>317</v>
      </c>
      <c r="B51" s="275">
        <v>5772.650000000006</v>
      </c>
      <c r="C51" s="279">
        <f t="shared" si="2"/>
        <v>7.899749075729437E-2</v>
      </c>
      <c r="D51" s="276" t="s">
        <v>317</v>
      </c>
      <c r="E51" s="275">
        <v>2001.63</v>
      </c>
      <c r="F51" s="279">
        <f t="shared" si="3"/>
        <v>7.6686485473806631E-2</v>
      </c>
    </row>
    <row r="52" spans="1:6" x14ac:dyDescent="0.25">
      <c r="A52" s="276" t="s">
        <v>308</v>
      </c>
      <c r="B52" s="275">
        <f>B53-SUM(B33:B51)</f>
        <v>2932.4300000000076</v>
      </c>
      <c r="C52" s="279">
        <f t="shared" si="2"/>
        <v>4.0129682523869122E-2</v>
      </c>
      <c r="D52" s="276" t="s">
        <v>308</v>
      </c>
      <c r="E52" s="275">
        <f>E53-SUM(E33:E51)</f>
        <v>482.57000000000335</v>
      </c>
      <c r="F52" s="279">
        <f t="shared" si="3"/>
        <v>1.8488230739494873E-2</v>
      </c>
    </row>
    <row r="53" spans="1:6" x14ac:dyDescent="0.25">
      <c r="A53" s="276" t="s">
        <v>160</v>
      </c>
      <c r="B53" s="275">
        <v>73073.839999999982</v>
      </c>
      <c r="C53" s="279">
        <f t="shared" si="2"/>
        <v>1</v>
      </c>
      <c r="D53" s="276" t="s">
        <v>160</v>
      </c>
      <c r="E53" s="275">
        <v>26101.470000000005</v>
      </c>
      <c r="F53" s="279">
        <f t="shared" si="3"/>
        <v>1</v>
      </c>
    </row>
    <row r="56" spans="1:6" x14ac:dyDescent="0.25">
      <c r="B56" s="278"/>
    </row>
    <row r="57" spans="1:6" x14ac:dyDescent="0.25">
      <c r="B57" s="278"/>
    </row>
    <row r="58" spans="1:6" x14ac:dyDescent="0.25">
      <c r="A58" s="35"/>
      <c r="B58" s="278"/>
      <c r="C58" s="35"/>
    </row>
    <row r="59" spans="1:6" x14ac:dyDescent="0.25">
      <c r="A59" s="35"/>
      <c r="B59" s="278"/>
      <c r="C59" s="35"/>
    </row>
    <row r="60" spans="1:6" x14ac:dyDescent="0.25">
      <c r="A60" s="35"/>
      <c r="B60" s="278"/>
      <c r="C60" s="35"/>
    </row>
    <row r="61" spans="1:6" x14ac:dyDescent="0.25">
      <c r="A61" s="35"/>
      <c r="B61" s="278"/>
      <c r="C61" s="35"/>
    </row>
    <row r="62" spans="1:6" x14ac:dyDescent="0.25">
      <c r="A62" s="35"/>
      <c r="B62" s="278"/>
      <c r="C62" s="35"/>
    </row>
    <row r="63" spans="1:6" x14ac:dyDescent="0.25">
      <c r="A63" s="35"/>
      <c r="B63" s="278"/>
      <c r="C63" s="35"/>
    </row>
    <row r="64" spans="1:6" x14ac:dyDescent="0.25">
      <c r="A64" s="35"/>
      <c r="B64" s="278"/>
      <c r="C64" s="35"/>
    </row>
    <row r="65" spans="1:3" x14ac:dyDescent="0.25">
      <c r="A65" s="35"/>
      <c r="B65" s="278"/>
      <c r="C65" s="35"/>
    </row>
    <row r="66" spans="1:3" x14ac:dyDescent="0.25">
      <c r="A66" s="35"/>
      <c r="B66" s="278"/>
      <c r="C66" s="35"/>
    </row>
    <row r="67" spans="1:3" x14ac:dyDescent="0.25">
      <c r="A67" s="35"/>
      <c r="B67" s="278"/>
      <c r="C67" s="35"/>
    </row>
    <row r="68" spans="1:3" x14ac:dyDescent="0.25">
      <c r="A68" s="35"/>
      <c r="B68" s="278"/>
      <c r="C68" s="35"/>
    </row>
    <row r="69" spans="1:3" x14ac:dyDescent="0.25">
      <c r="A69" s="35"/>
      <c r="B69" s="278"/>
      <c r="C69" s="35"/>
    </row>
    <row r="70" spans="1:3" x14ac:dyDescent="0.25">
      <c r="A70" s="35"/>
      <c r="B70" s="278"/>
      <c r="C70" s="35"/>
    </row>
    <row r="71" spans="1:3" x14ac:dyDescent="0.25">
      <c r="A71" s="35"/>
      <c r="B71" s="278"/>
      <c r="C71" s="35"/>
    </row>
    <row r="72" spans="1:3" x14ac:dyDescent="0.25">
      <c r="A72" s="35"/>
      <c r="B72" s="278"/>
      <c r="C72" s="35"/>
    </row>
    <row r="73" spans="1:3" x14ac:dyDescent="0.25">
      <c r="A73" s="35"/>
      <c r="B73" s="278"/>
      <c r="C73" s="35"/>
    </row>
    <row r="74" spans="1:3" x14ac:dyDescent="0.25">
      <c r="A74" s="35"/>
      <c r="B74" s="278"/>
      <c r="C74" s="35"/>
    </row>
    <row r="75" spans="1:3" x14ac:dyDescent="0.25">
      <c r="A75" s="35"/>
      <c r="B75" s="278"/>
      <c r="C75" s="35"/>
    </row>
    <row r="76" spans="1:3" x14ac:dyDescent="0.25">
      <c r="A76" s="35"/>
      <c r="B76" s="278"/>
      <c r="C76" s="35"/>
    </row>
    <row r="77" spans="1:3" x14ac:dyDescent="0.25">
      <c r="A77" s="35"/>
      <c r="B77" s="278"/>
      <c r="C77" s="35"/>
    </row>
  </sheetData>
  <mergeCells count="12">
    <mergeCell ref="A4:A5"/>
    <mergeCell ref="D4:D5"/>
    <mergeCell ref="C4:C5"/>
    <mergeCell ref="A31:A32"/>
    <mergeCell ref="B31:B32"/>
    <mergeCell ref="C31:C32"/>
    <mergeCell ref="D31:D32"/>
    <mergeCell ref="E31:E32"/>
    <mergeCell ref="F31:F32"/>
    <mergeCell ref="B4:B5"/>
    <mergeCell ref="E4:E5"/>
    <mergeCell ref="F4:F5"/>
  </mergeCells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4" workbookViewId="0">
      <selection activeCell="G21" sqref="G21"/>
    </sheetView>
  </sheetViews>
  <sheetFormatPr baseColWidth="10" defaultRowHeight="15" x14ac:dyDescent="0.25"/>
  <cols>
    <col min="1" max="1" width="23.42578125" bestFit="1" customWidth="1"/>
    <col min="2" max="2" width="20.5703125" customWidth="1"/>
    <col min="3" max="3" width="14.28515625" bestFit="1" customWidth="1"/>
    <col min="4" max="4" width="18.28515625" bestFit="1" customWidth="1"/>
    <col min="5" max="5" width="25.5703125" customWidth="1"/>
    <col min="6" max="6" width="16.28515625" customWidth="1"/>
  </cols>
  <sheetData>
    <row r="1" spans="1:6" x14ac:dyDescent="0.25">
      <c r="C1" s="2" t="s">
        <v>0</v>
      </c>
      <c r="D1" s="176" t="s">
        <v>1</v>
      </c>
      <c r="E1" s="2" t="s">
        <v>216</v>
      </c>
      <c r="F1" t="s">
        <v>231</v>
      </c>
    </row>
    <row r="2" spans="1:6" x14ac:dyDescent="0.25">
      <c r="C2" s="2"/>
      <c r="D2" s="176"/>
      <c r="E2" s="2"/>
      <c r="F2" t="s">
        <v>321</v>
      </c>
    </row>
    <row r="3" spans="1:6" ht="18.75" x14ac:dyDescent="0.3">
      <c r="A3" s="271" t="s">
        <v>8</v>
      </c>
    </row>
    <row r="4" spans="1:6" x14ac:dyDescent="0.25">
      <c r="A4" s="327" t="s">
        <v>148</v>
      </c>
      <c r="B4" s="327" t="s">
        <v>311</v>
      </c>
      <c r="C4" s="327" t="s">
        <v>313</v>
      </c>
      <c r="D4" s="327" t="s">
        <v>148</v>
      </c>
      <c r="E4" s="327" t="s">
        <v>312</v>
      </c>
      <c r="F4" s="327" t="s">
        <v>310</v>
      </c>
    </row>
    <row r="5" spans="1:6" x14ac:dyDescent="0.25">
      <c r="A5" s="327"/>
      <c r="B5" s="327"/>
      <c r="C5" s="327"/>
      <c r="D5" s="327"/>
      <c r="E5" s="327"/>
      <c r="F5" s="327"/>
    </row>
    <row r="6" spans="1:6" x14ac:dyDescent="0.25">
      <c r="A6" s="274" t="s">
        <v>193</v>
      </c>
      <c r="B6" s="275">
        <v>7040.6099999999979</v>
      </c>
      <c r="C6" s="279">
        <f>B6/$B$19</f>
        <v>0.57748590654561305</v>
      </c>
      <c r="D6" s="277" t="s">
        <v>193</v>
      </c>
      <c r="E6" s="275">
        <v>12103.760000000004</v>
      </c>
      <c r="F6" s="279">
        <f>E6/$E$19</f>
        <v>0.49767297089599777</v>
      </c>
    </row>
    <row r="7" spans="1:6" x14ac:dyDescent="0.25">
      <c r="A7" s="274" t="s">
        <v>189</v>
      </c>
      <c r="B7" s="275">
        <v>467.38999999999987</v>
      </c>
      <c r="C7" s="279">
        <f t="shared" ref="C7:C19" si="0">B7/$B$19</f>
        <v>3.8336328508517599E-2</v>
      </c>
      <c r="D7" s="277" t="s">
        <v>189</v>
      </c>
      <c r="E7" s="275">
        <v>1457.6299999999997</v>
      </c>
      <c r="F7" s="279">
        <f t="shared" ref="F7:F19" si="1">E7/$E$19</f>
        <v>5.9933694369942302E-2</v>
      </c>
    </row>
    <row r="8" spans="1:6" x14ac:dyDescent="0.25">
      <c r="A8" s="274" t="s">
        <v>197</v>
      </c>
      <c r="B8" s="275">
        <v>168.44000000000003</v>
      </c>
      <c r="C8" s="279">
        <f t="shared" si="0"/>
        <v>1.3815809439600134E-2</v>
      </c>
      <c r="D8" s="277" t="s">
        <v>194</v>
      </c>
      <c r="E8" s="275">
        <v>531.69000000000005</v>
      </c>
      <c r="F8" s="279">
        <f t="shared" si="1"/>
        <v>2.1861615059757714E-2</v>
      </c>
    </row>
    <row r="9" spans="1:6" x14ac:dyDescent="0.25">
      <c r="A9" s="274" t="s">
        <v>194</v>
      </c>
      <c r="B9" s="275">
        <v>158.38999999999999</v>
      </c>
      <c r="C9" s="279">
        <f t="shared" si="0"/>
        <v>1.2991486921979723E-2</v>
      </c>
      <c r="D9" s="277" t="s">
        <v>192</v>
      </c>
      <c r="E9" s="275">
        <v>192.27</v>
      </c>
      <c r="F9" s="279">
        <f t="shared" si="1"/>
        <v>7.9056080188448438E-3</v>
      </c>
    </row>
    <row r="10" spans="1:6" x14ac:dyDescent="0.25">
      <c r="A10" s="274" t="s">
        <v>191</v>
      </c>
      <c r="B10" s="275">
        <v>106.71</v>
      </c>
      <c r="C10" s="279">
        <f t="shared" si="0"/>
        <v>8.7525826721665274E-3</v>
      </c>
      <c r="D10" s="277" t="s">
        <v>198</v>
      </c>
      <c r="E10" s="275">
        <v>192.13</v>
      </c>
      <c r="F10" s="279">
        <f t="shared" si="1"/>
        <v>7.8998516079505886E-3</v>
      </c>
    </row>
    <row r="11" spans="1:6" x14ac:dyDescent="0.25">
      <c r="A11" s="274" t="s">
        <v>198</v>
      </c>
      <c r="B11" s="275">
        <v>57.289999999999992</v>
      </c>
      <c r="C11" s="279">
        <f t="shared" si="0"/>
        <v>4.6990484611416023E-3</v>
      </c>
      <c r="D11" s="277" t="s">
        <v>197</v>
      </c>
      <c r="E11" s="275">
        <v>117.67999999999999</v>
      </c>
      <c r="F11" s="279">
        <f t="shared" si="1"/>
        <v>4.8386745288274881E-3</v>
      </c>
    </row>
    <row r="12" spans="1:6" x14ac:dyDescent="0.25">
      <c r="A12" s="274" t="s">
        <v>192</v>
      </c>
      <c r="B12" s="275">
        <v>42.839999999999996</v>
      </c>
      <c r="C12" s="279">
        <f t="shared" si="0"/>
        <v>3.5138285228714654E-3</v>
      </c>
      <c r="D12" s="277" t="s">
        <v>190</v>
      </c>
      <c r="E12" s="275">
        <v>76.379999999999981</v>
      </c>
      <c r="F12" s="279">
        <f t="shared" si="1"/>
        <v>3.1405333150224635E-3</v>
      </c>
    </row>
    <row r="13" spans="1:6" x14ac:dyDescent="0.25">
      <c r="A13" s="274" t="s">
        <v>190</v>
      </c>
      <c r="B13" s="275">
        <v>28.699999999999996</v>
      </c>
      <c r="C13" s="279">
        <f t="shared" si="0"/>
        <v>2.3540354483289226E-3</v>
      </c>
      <c r="D13" s="277" t="s">
        <v>195</v>
      </c>
      <c r="E13" s="275">
        <v>67.94</v>
      </c>
      <c r="F13" s="279">
        <f t="shared" si="1"/>
        <v>2.793503972540275E-3</v>
      </c>
    </row>
    <row r="14" spans="1:6" x14ac:dyDescent="0.25">
      <c r="A14" s="274" t="s">
        <v>195</v>
      </c>
      <c r="B14" s="275">
        <v>19.390000000000004</v>
      </c>
      <c r="C14" s="279">
        <f t="shared" si="0"/>
        <v>1.5904093150905165E-3</v>
      </c>
      <c r="D14" s="277" t="s">
        <v>191</v>
      </c>
      <c r="E14" s="275">
        <v>39</v>
      </c>
      <c r="F14" s="279">
        <f t="shared" si="1"/>
        <v>1.6035716062565606E-3</v>
      </c>
    </row>
    <row r="15" spans="1:6" x14ac:dyDescent="0.25">
      <c r="A15" s="274" t="s">
        <v>196</v>
      </c>
      <c r="B15" s="275">
        <v>15.58</v>
      </c>
      <c r="C15" s="279">
        <f t="shared" si="0"/>
        <v>1.2779049576642724E-3</v>
      </c>
      <c r="D15" s="277" t="s">
        <v>196</v>
      </c>
      <c r="E15" s="275">
        <v>24.24</v>
      </c>
      <c r="F15" s="279">
        <f t="shared" si="1"/>
        <v>9.966814291194621E-4</v>
      </c>
    </row>
    <row r="16" spans="1:6" x14ac:dyDescent="0.25">
      <c r="A16" s="274" t="s">
        <v>199</v>
      </c>
      <c r="B16" s="275">
        <v>11.89</v>
      </c>
      <c r="C16" s="279">
        <f t="shared" si="0"/>
        <v>9.7524325716483954E-4</v>
      </c>
      <c r="D16" s="277" t="s">
        <v>199</v>
      </c>
      <c r="E16" s="275">
        <v>21.299999999999997</v>
      </c>
      <c r="F16" s="279">
        <f t="shared" si="1"/>
        <v>8.7579680034012141E-4</v>
      </c>
    </row>
    <row r="17" spans="1:6" x14ac:dyDescent="0.25">
      <c r="A17" s="274" t="s">
        <v>159</v>
      </c>
      <c r="B17" s="275">
        <v>2712.4499999999975</v>
      </c>
      <c r="C17" s="279">
        <f t="shared" si="0"/>
        <v>0.22248095650940006</v>
      </c>
      <c r="D17" s="277" t="s">
        <v>159</v>
      </c>
      <c r="E17" s="275">
        <v>6918.71</v>
      </c>
      <c r="F17" s="279">
        <f t="shared" si="1"/>
        <v>0.28447812584418791</v>
      </c>
    </row>
    <row r="18" spans="1:6" x14ac:dyDescent="0.25">
      <c r="A18" s="274" t="s">
        <v>308</v>
      </c>
      <c r="B18" s="275">
        <f>B19-SUM(B6:B17)</f>
        <v>1362.1499999999978</v>
      </c>
      <c r="C18" s="279">
        <f t="shared" si="0"/>
        <v>0.11172645944046122</v>
      </c>
      <c r="D18" s="277" t="s">
        <v>308</v>
      </c>
      <c r="E18" s="275">
        <f>E19-SUM(E6:E17)</f>
        <v>2577.9799999999996</v>
      </c>
      <c r="F18" s="279">
        <f t="shared" si="1"/>
        <v>0.1059993725512125</v>
      </c>
    </row>
    <row r="19" spans="1:6" x14ac:dyDescent="0.25">
      <c r="A19" s="274" t="s">
        <v>160</v>
      </c>
      <c r="B19" s="275">
        <v>12191.829999999994</v>
      </c>
      <c r="C19" s="279">
        <f t="shared" si="0"/>
        <v>1</v>
      </c>
      <c r="D19" s="277" t="s">
        <v>160</v>
      </c>
      <c r="E19" s="275">
        <v>24320.710000000003</v>
      </c>
      <c r="F19" s="279">
        <f t="shared" si="1"/>
        <v>1</v>
      </c>
    </row>
    <row r="20" spans="1:6" x14ac:dyDescent="0.25">
      <c r="A20" s="280"/>
      <c r="B20" s="7"/>
      <c r="E20" s="280"/>
      <c r="F20" s="7"/>
    </row>
    <row r="21" spans="1:6" ht="18.75" x14ac:dyDescent="0.3">
      <c r="A21" s="272" t="s">
        <v>97</v>
      </c>
      <c r="B21" s="7"/>
      <c r="E21" s="280"/>
      <c r="F21" s="7"/>
    </row>
    <row r="22" spans="1:6" x14ac:dyDescent="0.25">
      <c r="A22" s="300" t="s">
        <v>148</v>
      </c>
      <c r="B22" s="300" t="s">
        <v>316</v>
      </c>
      <c r="C22" s="300" t="s">
        <v>313</v>
      </c>
      <c r="D22" s="300" t="s">
        <v>148</v>
      </c>
      <c r="E22" s="300" t="s">
        <v>315</v>
      </c>
      <c r="F22" s="300" t="s">
        <v>310</v>
      </c>
    </row>
    <row r="23" spans="1:6" x14ac:dyDescent="0.25">
      <c r="A23" s="300"/>
      <c r="B23" s="300"/>
      <c r="C23" s="300"/>
      <c r="D23" s="300"/>
      <c r="E23" s="300"/>
      <c r="F23" s="300"/>
    </row>
    <row r="24" spans="1:6" x14ac:dyDescent="0.25">
      <c r="A24" s="276" t="s">
        <v>193</v>
      </c>
      <c r="B24" s="275">
        <v>3228.440000000001</v>
      </c>
      <c r="C24" s="279">
        <f>B24/$B$37</f>
        <v>0.58505839819504735</v>
      </c>
      <c r="D24" s="276" t="s">
        <v>193</v>
      </c>
      <c r="E24" s="275">
        <v>2779.9400000000005</v>
      </c>
      <c r="F24" s="279">
        <f>E24/$E$37</f>
        <v>0.44757827556282581</v>
      </c>
    </row>
    <row r="25" spans="1:6" x14ac:dyDescent="0.25">
      <c r="A25" s="276" t="s">
        <v>189</v>
      </c>
      <c r="B25" s="275">
        <v>177.86999999999998</v>
      </c>
      <c r="C25" s="279">
        <f t="shared" ref="C25:C37" si="2">B25/$B$37</f>
        <v>3.2233629024220063E-2</v>
      </c>
      <c r="D25" s="276" t="s">
        <v>189</v>
      </c>
      <c r="E25" s="275">
        <v>772.53000000000009</v>
      </c>
      <c r="F25" s="279">
        <f t="shared" ref="F25:F37" si="3">E25/$E$37</f>
        <v>0.12437953524915998</v>
      </c>
    </row>
    <row r="26" spans="1:6" x14ac:dyDescent="0.25">
      <c r="A26" s="276" t="s">
        <v>192</v>
      </c>
      <c r="B26" s="275">
        <v>123.30000000000001</v>
      </c>
      <c r="C26" s="279">
        <f t="shared" si="2"/>
        <v>2.2344445149189492E-2</v>
      </c>
      <c r="D26" s="276" t="s">
        <v>192</v>
      </c>
      <c r="E26" s="275">
        <v>372.92999999999995</v>
      </c>
      <c r="F26" s="279">
        <f t="shared" si="3"/>
        <v>6.0042794558747524E-2</v>
      </c>
    </row>
    <row r="27" spans="1:6" x14ac:dyDescent="0.25">
      <c r="A27" s="276" t="s">
        <v>194</v>
      </c>
      <c r="B27" s="275">
        <v>58</v>
      </c>
      <c r="C27" s="279">
        <f t="shared" si="2"/>
        <v>1.0510769007729039E-2</v>
      </c>
      <c r="D27" s="276" t="s">
        <v>194</v>
      </c>
      <c r="E27" s="275">
        <v>100.69</v>
      </c>
      <c r="F27" s="279">
        <f t="shared" si="3"/>
        <v>1.6211377427721795E-2</v>
      </c>
    </row>
    <row r="28" spans="1:6" x14ac:dyDescent="0.25">
      <c r="A28" s="276" t="s">
        <v>196</v>
      </c>
      <c r="B28" s="275">
        <v>55.79</v>
      </c>
      <c r="C28" s="279">
        <f t="shared" si="2"/>
        <v>1.0110272464503502E-2</v>
      </c>
      <c r="D28" s="276" t="s">
        <v>196</v>
      </c>
      <c r="E28" s="275">
        <v>78.84</v>
      </c>
      <c r="F28" s="279">
        <f t="shared" si="3"/>
        <v>1.2693465055135428E-2</v>
      </c>
    </row>
    <row r="29" spans="1:6" x14ac:dyDescent="0.25">
      <c r="A29" s="276" t="s">
        <v>191</v>
      </c>
      <c r="B29" s="275">
        <v>47.56</v>
      </c>
      <c r="C29" s="279">
        <f t="shared" si="2"/>
        <v>8.6188305863378126E-3</v>
      </c>
      <c r="D29" s="276" t="s">
        <v>198</v>
      </c>
      <c r="E29" s="275">
        <v>37.129999999999995</v>
      </c>
      <c r="F29" s="279">
        <f t="shared" si="3"/>
        <v>5.9780359905781122E-3</v>
      </c>
    </row>
    <row r="30" spans="1:6" x14ac:dyDescent="0.25">
      <c r="A30" s="276" t="s">
        <v>198</v>
      </c>
      <c r="B30" s="275">
        <v>39.330000000000005</v>
      </c>
      <c r="C30" s="279">
        <f t="shared" si="2"/>
        <v>7.1273887081721235E-3</v>
      </c>
      <c r="D30" s="276" t="s">
        <v>190</v>
      </c>
      <c r="E30" s="275">
        <v>36.120000000000005</v>
      </c>
      <c r="F30" s="279">
        <f t="shared" si="3"/>
        <v>5.8154231074516961E-3</v>
      </c>
    </row>
    <row r="31" spans="1:6" x14ac:dyDescent="0.25">
      <c r="A31" s="276" t="s">
        <v>190</v>
      </c>
      <c r="B31" s="275">
        <v>21.67</v>
      </c>
      <c r="C31" s="279">
        <f t="shared" si="2"/>
        <v>3.9270407654739357E-3</v>
      </c>
      <c r="D31" s="276" t="s">
        <v>199</v>
      </c>
      <c r="E31" s="275">
        <v>9.379999999999999</v>
      </c>
      <c r="F31" s="279">
        <f t="shared" si="3"/>
        <v>1.5102067759661377E-3</v>
      </c>
    </row>
    <row r="32" spans="1:6" x14ac:dyDescent="0.25">
      <c r="A32" s="276" t="s">
        <v>199</v>
      </c>
      <c r="B32" s="275">
        <v>5.15</v>
      </c>
      <c r="C32" s="279">
        <f t="shared" si="2"/>
        <v>9.3328379982421644E-4</v>
      </c>
      <c r="D32" s="276" t="s">
        <v>197</v>
      </c>
      <c r="E32" s="275">
        <v>5.46</v>
      </c>
      <c r="F32" s="279">
        <f t="shared" si="3"/>
        <v>8.7907558601014004E-4</v>
      </c>
    </row>
    <row r="33" spans="1:6" x14ac:dyDescent="0.25">
      <c r="A33" s="276" t="s">
        <v>197</v>
      </c>
      <c r="B33" s="275">
        <v>5.04</v>
      </c>
      <c r="C33" s="279">
        <f t="shared" si="2"/>
        <v>9.1334958274059237E-4</v>
      </c>
      <c r="D33" s="276" t="s">
        <v>191</v>
      </c>
      <c r="E33" s="275">
        <v>4.49</v>
      </c>
      <c r="F33" s="279">
        <f t="shared" si="3"/>
        <v>7.2290281706694664E-4</v>
      </c>
    </row>
    <row r="34" spans="1:6" x14ac:dyDescent="0.25">
      <c r="A34" s="276" t="s">
        <v>195</v>
      </c>
      <c r="B34" s="275">
        <v>3.99</v>
      </c>
      <c r="C34" s="279">
        <f t="shared" si="2"/>
        <v>7.2306841966963563E-4</v>
      </c>
      <c r="D34" s="276" t="s">
        <v>195</v>
      </c>
      <c r="E34" s="275">
        <v>0.41</v>
      </c>
      <c r="F34" s="279">
        <f t="shared" si="3"/>
        <v>6.6011170378050808E-5</v>
      </c>
    </row>
    <row r="35" spans="1:6" x14ac:dyDescent="0.25">
      <c r="A35" s="276" t="s">
        <v>159</v>
      </c>
      <c r="B35" s="275">
        <v>1268.7599999999991</v>
      </c>
      <c r="C35" s="279">
        <f t="shared" si="2"/>
        <v>0.2299248842456256</v>
      </c>
      <c r="D35" s="276" t="s">
        <v>159</v>
      </c>
      <c r="E35" s="275">
        <v>1317.76</v>
      </c>
      <c r="F35" s="279">
        <f t="shared" si="3"/>
        <v>0.2121631216521469</v>
      </c>
    </row>
    <row r="36" spans="1:6" x14ac:dyDescent="0.25">
      <c r="A36" s="276" t="s">
        <v>308</v>
      </c>
      <c r="B36" s="275">
        <f>B37-SUM(B24:B35)</f>
        <v>483.25000000000091</v>
      </c>
      <c r="C36" s="279">
        <f t="shared" si="2"/>
        <v>8.7574640051466673E-2</v>
      </c>
      <c r="D36" s="276" t="s">
        <v>308</v>
      </c>
      <c r="E36" s="275">
        <f>E37-SUM(E24:E35)</f>
        <v>695.38999999999942</v>
      </c>
      <c r="F36" s="279">
        <f t="shared" si="3"/>
        <v>0.1119597750468115</v>
      </c>
    </row>
    <row r="37" spans="1:6" x14ac:dyDescent="0.25">
      <c r="A37" s="276" t="s">
        <v>160</v>
      </c>
      <c r="B37" s="275">
        <v>5518.1500000000005</v>
      </c>
      <c r="C37" s="279">
        <f t="shared" si="2"/>
        <v>1</v>
      </c>
      <c r="D37" s="276" t="s">
        <v>160</v>
      </c>
      <c r="E37" s="275">
        <v>6211.07</v>
      </c>
      <c r="F37" s="279">
        <f t="shared" si="3"/>
        <v>1</v>
      </c>
    </row>
  </sheetData>
  <mergeCells count="12">
    <mergeCell ref="F22:F23"/>
    <mergeCell ref="A4:A5"/>
    <mergeCell ref="B4:B5"/>
    <mergeCell ref="C4:C5"/>
    <mergeCell ref="D4:D5"/>
    <mergeCell ref="E4:E5"/>
    <mergeCell ref="F4:F5"/>
    <mergeCell ref="A22:A23"/>
    <mergeCell ref="B22:B23"/>
    <mergeCell ref="C22:C23"/>
    <mergeCell ref="D22:D23"/>
    <mergeCell ref="E22:E23"/>
  </mergeCells>
  <hyperlinks>
    <hyperlink ref="D1" location="INDICE!A1" display="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9"/>
  <sheetViews>
    <sheetView topLeftCell="B13" workbookViewId="0">
      <selection activeCell="N36" sqref="N35:N36"/>
    </sheetView>
  </sheetViews>
  <sheetFormatPr baseColWidth="10" defaultRowHeight="15" x14ac:dyDescent="0.25"/>
  <cols>
    <col min="1" max="1" width="18.140625" customWidth="1"/>
    <col min="6" max="6" width="16.5703125" customWidth="1"/>
    <col min="7" max="7" width="17.140625" customWidth="1"/>
    <col min="8" max="8" width="14.140625" customWidth="1"/>
    <col min="11" max="11" width="15.85546875" customWidth="1"/>
    <col min="13" max="13" width="13.42578125" customWidth="1"/>
    <col min="14" max="14" width="17.42578125" bestFit="1" customWidth="1"/>
    <col min="17" max="17" width="13.140625" customWidth="1"/>
    <col min="18" max="18" width="14.140625" customWidth="1"/>
  </cols>
  <sheetData>
    <row r="1" spans="1:19" x14ac:dyDescent="0.25">
      <c r="C1" s="2" t="s">
        <v>0</v>
      </c>
      <c r="D1" s="176" t="s">
        <v>1</v>
      </c>
      <c r="E1" s="2" t="s">
        <v>216</v>
      </c>
      <c r="F1" t="s">
        <v>249</v>
      </c>
    </row>
    <row r="2" spans="1:19" x14ac:dyDescent="0.25">
      <c r="C2" s="2"/>
      <c r="D2" s="5"/>
      <c r="E2" s="2"/>
      <c r="F2" t="s">
        <v>217</v>
      </c>
    </row>
    <row r="3" spans="1:19" x14ac:dyDescent="0.25">
      <c r="C3" s="2"/>
      <c r="D3" s="5"/>
      <c r="E3" s="2"/>
      <c r="F3" t="s">
        <v>222</v>
      </c>
    </row>
    <row r="4" spans="1:19" x14ac:dyDescent="0.25">
      <c r="F4" t="s">
        <v>229</v>
      </c>
    </row>
    <row r="5" spans="1:19" ht="18.75" x14ac:dyDescent="0.3">
      <c r="A5" s="305" t="s">
        <v>8</v>
      </c>
      <c r="B5" s="305"/>
    </row>
    <row r="6" spans="1:19" ht="33" customHeight="1" x14ac:dyDescent="0.25">
      <c r="A6" s="301" t="s">
        <v>2</v>
      </c>
      <c r="B6" s="301" t="s">
        <v>235</v>
      </c>
      <c r="C6" s="301"/>
      <c r="D6" s="302" t="s">
        <v>3</v>
      </c>
      <c r="E6" s="302"/>
      <c r="F6" s="302" t="s">
        <v>236</v>
      </c>
      <c r="G6" s="302"/>
      <c r="H6" s="302" t="s">
        <v>237</v>
      </c>
      <c r="I6" s="302"/>
      <c r="K6" s="247" t="s">
        <v>276</v>
      </c>
      <c r="P6" s="218" t="s">
        <v>265</v>
      </c>
    </row>
    <row r="7" spans="1:19" ht="45" x14ac:dyDescent="0.25">
      <c r="A7" s="301"/>
      <c r="B7" s="9">
        <v>2019</v>
      </c>
      <c r="C7" s="8">
        <v>2020</v>
      </c>
      <c r="D7" s="9">
        <v>2019</v>
      </c>
      <c r="E7" s="9">
        <v>2020</v>
      </c>
      <c r="F7" s="8">
        <v>2019</v>
      </c>
      <c r="G7" s="8">
        <v>2020</v>
      </c>
      <c r="H7" s="9" t="s">
        <v>4</v>
      </c>
      <c r="I7" s="4" t="s">
        <v>5</v>
      </c>
      <c r="L7" s="285" t="s">
        <v>240</v>
      </c>
      <c r="M7" s="285" t="s">
        <v>278</v>
      </c>
      <c r="N7" s="286" t="s">
        <v>269</v>
      </c>
      <c r="Q7" s="287" t="s">
        <v>248</v>
      </c>
      <c r="R7" s="287" t="s">
        <v>240</v>
      </c>
      <c r="S7" s="288" t="s">
        <v>279</v>
      </c>
    </row>
    <row r="8" spans="1:19" x14ac:dyDescent="0.25">
      <c r="A8" s="16" t="s">
        <v>49</v>
      </c>
      <c r="B8" s="17">
        <f>SUM(B9:B16)</f>
        <v>2395.46</v>
      </c>
      <c r="C8" s="17">
        <f>SUM(C9:C16)</f>
        <v>2889.32</v>
      </c>
      <c r="D8" s="17">
        <v>2462</v>
      </c>
      <c r="E8" s="17">
        <v>2909</v>
      </c>
      <c r="F8" s="25">
        <f>IFERROR(B8/D8,"")</f>
        <v>0.97297319252640135</v>
      </c>
      <c r="G8" s="25">
        <f>IFERROR(C8/E8,"")</f>
        <v>0.99323478858714342</v>
      </c>
      <c r="H8" s="17">
        <f>IFERROR(C8-B8,"")</f>
        <v>493.86000000000013</v>
      </c>
      <c r="I8" s="25">
        <f>IFERROR((C8/B8)-1,"")</f>
        <v>0.20616499544972577</v>
      </c>
      <c r="K8" s="284" t="s">
        <v>52</v>
      </c>
      <c r="L8" s="162">
        <f>C30</f>
        <v>29250.860000000008</v>
      </c>
      <c r="M8" s="162">
        <f>E30</f>
        <v>28293</v>
      </c>
      <c r="N8" s="124">
        <f>L8/M8</f>
        <v>1.0338550171420495</v>
      </c>
      <c r="P8" s="289" t="s">
        <v>52</v>
      </c>
      <c r="Q8" s="162">
        <f>B30</f>
        <v>23719.399999999998</v>
      </c>
      <c r="R8" s="162">
        <f>C30</f>
        <v>29250.860000000008</v>
      </c>
      <c r="S8" s="129">
        <f>R8/Q8-1</f>
        <v>0.23320404394714922</v>
      </c>
    </row>
    <row r="9" spans="1:19" x14ac:dyDescent="0.25">
      <c r="A9" s="13" t="s">
        <v>11</v>
      </c>
      <c r="B9" s="14">
        <v>73.210000000000008</v>
      </c>
      <c r="C9" s="14">
        <v>77.789999999999992</v>
      </c>
      <c r="D9" s="14">
        <v>67</v>
      </c>
      <c r="E9" s="14">
        <v>86</v>
      </c>
      <c r="F9" s="26">
        <f t="shared" ref="F9:F62" si="0">IFERROR(B9/D9,"")</f>
        <v>1.0926865671641792</v>
      </c>
      <c r="G9" s="26">
        <f t="shared" ref="G9:G62" si="1">IFERROR(C9/E9,"")</f>
        <v>0.90453488372093016</v>
      </c>
      <c r="H9" s="14">
        <f t="shared" ref="H9:H62" si="2">IFERROR(C9-B9,"")</f>
        <v>4.5799999999999841</v>
      </c>
      <c r="I9" s="26">
        <f t="shared" ref="I9:I62" si="3">IFERROR((C9/B9)-1,"")</f>
        <v>6.2559759595683495E-2</v>
      </c>
      <c r="K9" s="284" t="s">
        <v>62</v>
      </c>
      <c r="L9" s="162">
        <f>C8</f>
        <v>2889.32</v>
      </c>
      <c r="M9" s="162">
        <f>E8</f>
        <v>2909</v>
      </c>
      <c r="N9" s="124">
        <f t="shared" ref="N9:N12" si="4">L9/M9</f>
        <v>0.99323478858714342</v>
      </c>
      <c r="P9" s="289" t="s">
        <v>62</v>
      </c>
      <c r="Q9" s="162">
        <f>B8</f>
        <v>2395.46</v>
      </c>
      <c r="R9" s="162">
        <f>C8</f>
        <v>2889.32</v>
      </c>
      <c r="S9" s="129">
        <f t="shared" ref="S9:S12" si="5">R9/Q9-1</f>
        <v>0.20616499544972577</v>
      </c>
    </row>
    <row r="10" spans="1:19" x14ac:dyDescent="0.25">
      <c r="A10" s="13" t="s">
        <v>12</v>
      </c>
      <c r="B10" s="14">
        <v>150.64000000000001</v>
      </c>
      <c r="C10" s="14">
        <v>170.53</v>
      </c>
      <c r="D10" s="14">
        <v>151</v>
      </c>
      <c r="E10" s="14">
        <v>171</v>
      </c>
      <c r="F10" s="26">
        <f t="shared" si="0"/>
        <v>0.99761589403973516</v>
      </c>
      <c r="G10" s="26">
        <f t="shared" si="1"/>
        <v>0.99725146198830406</v>
      </c>
      <c r="H10" s="14">
        <f t="shared" si="2"/>
        <v>19.889999999999986</v>
      </c>
      <c r="I10" s="26">
        <f t="shared" si="3"/>
        <v>0.1320366436537439</v>
      </c>
      <c r="K10" s="284" t="s">
        <v>293</v>
      </c>
      <c r="L10" s="162">
        <f>C36</f>
        <v>1761.6699999999996</v>
      </c>
      <c r="M10" s="162">
        <f>E36</f>
        <v>453</v>
      </c>
      <c r="N10" s="124">
        <f t="shared" si="4"/>
        <v>3.8888962472406172</v>
      </c>
      <c r="O10" s="50"/>
      <c r="P10" s="289" t="s">
        <v>293</v>
      </c>
      <c r="Q10" s="162">
        <f>B36</f>
        <v>1303.8500000000001</v>
      </c>
      <c r="R10" s="162">
        <f>C36</f>
        <v>1761.6699999999996</v>
      </c>
      <c r="S10" s="129">
        <f t="shared" si="5"/>
        <v>0.35112934770103887</v>
      </c>
    </row>
    <row r="11" spans="1:19" x14ac:dyDescent="0.25">
      <c r="A11" s="13" t="s">
        <v>13</v>
      </c>
      <c r="B11" s="14">
        <v>241.29</v>
      </c>
      <c r="C11" s="14">
        <v>291.76</v>
      </c>
      <c r="D11" s="14">
        <v>238</v>
      </c>
      <c r="E11" s="14">
        <v>292</v>
      </c>
      <c r="F11" s="26">
        <f t="shared" si="0"/>
        <v>1.0138235294117646</v>
      </c>
      <c r="G11" s="26">
        <f t="shared" si="1"/>
        <v>0.99917808219178084</v>
      </c>
      <c r="H11" s="14">
        <f t="shared" si="2"/>
        <v>50.47</v>
      </c>
      <c r="I11" s="26">
        <f t="shared" si="3"/>
        <v>0.20916739193501588</v>
      </c>
      <c r="K11" s="284" t="s">
        <v>54</v>
      </c>
      <c r="L11" s="164">
        <f>C46</f>
        <v>1140.9099999999999</v>
      </c>
      <c r="M11" s="164">
        <f>E46</f>
        <v>391</v>
      </c>
      <c r="N11" s="124">
        <f t="shared" si="4"/>
        <v>2.9179283887468026</v>
      </c>
      <c r="P11" s="289" t="s">
        <v>54</v>
      </c>
      <c r="Q11" s="164">
        <f>B46</f>
        <v>890.04</v>
      </c>
      <c r="R11" s="164">
        <f>C46</f>
        <v>1140.9099999999999</v>
      </c>
      <c r="S11" s="129">
        <f t="shared" si="5"/>
        <v>0.2818637364612826</v>
      </c>
    </row>
    <row r="12" spans="1:19" x14ac:dyDescent="0.25">
      <c r="A12" s="13" t="s">
        <v>14</v>
      </c>
      <c r="B12" s="14">
        <v>865.74</v>
      </c>
      <c r="C12" s="14">
        <v>1078.49</v>
      </c>
      <c r="D12" s="14">
        <v>832</v>
      </c>
      <c r="E12" s="14">
        <v>975</v>
      </c>
      <c r="F12" s="26">
        <f t="shared" si="0"/>
        <v>1.0405528846153846</v>
      </c>
      <c r="G12" s="26">
        <f t="shared" si="1"/>
        <v>1.1061435897435898</v>
      </c>
      <c r="H12" s="14">
        <f t="shared" si="2"/>
        <v>212.75</v>
      </c>
      <c r="I12" s="26">
        <f t="shared" si="3"/>
        <v>0.24574352576986169</v>
      </c>
      <c r="K12" s="284" t="s">
        <v>50</v>
      </c>
      <c r="L12" s="162">
        <f>C17</f>
        <v>383.07000000000005</v>
      </c>
      <c r="M12" s="162">
        <f>E17</f>
        <v>415</v>
      </c>
      <c r="N12" s="124">
        <f t="shared" si="4"/>
        <v>0.92306024096385553</v>
      </c>
      <c r="P12" s="289" t="s">
        <v>50</v>
      </c>
      <c r="Q12" s="162">
        <f>B17</f>
        <v>313.89999999999998</v>
      </c>
      <c r="R12" s="162">
        <f>C17</f>
        <v>383.07000000000005</v>
      </c>
      <c r="S12" s="129">
        <f t="shared" si="5"/>
        <v>0.22035680152914972</v>
      </c>
    </row>
    <row r="13" spans="1:19" x14ac:dyDescent="0.25">
      <c r="A13" s="13" t="s">
        <v>15</v>
      </c>
      <c r="B13" s="14">
        <v>47.69</v>
      </c>
      <c r="C13" s="14">
        <v>45.9</v>
      </c>
      <c r="D13" s="14">
        <v>50</v>
      </c>
      <c r="E13" s="14">
        <v>60</v>
      </c>
      <c r="F13" s="26">
        <f t="shared" si="0"/>
        <v>0.95379999999999998</v>
      </c>
      <c r="G13" s="26">
        <f t="shared" si="1"/>
        <v>0.76500000000000001</v>
      </c>
      <c r="H13" s="14">
        <f t="shared" si="2"/>
        <v>-1.7899999999999991</v>
      </c>
      <c r="I13" s="26">
        <f t="shared" si="3"/>
        <v>-3.753407422939814E-2</v>
      </c>
      <c r="K13" s="50"/>
      <c r="L13" s="162"/>
      <c r="M13" s="162"/>
      <c r="N13" s="124"/>
      <c r="P13" s="50"/>
      <c r="Q13" s="162"/>
      <c r="R13" s="162"/>
      <c r="S13" s="129"/>
    </row>
    <row r="14" spans="1:19" x14ac:dyDescent="0.25">
      <c r="A14" s="13" t="s">
        <v>16</v>
      </c>
      <c r="B14" s="14">
        <v>377.49</v>
      </c>
      <c r="C14" s="14">
        <v>474.95</v>
      </c>
      <c r="D14" s="14">
        <v>482</v>
      </c>
      <c r="E14" s="14">
        <v>553</v>
      </c>
      <c r="F14" s="26">
        <f t="shared" si="0"/>
        <v>0.78317427385892113</v>
      </c>
      <c r="G14" s="26">
        <f t="shared" si="1"/>
        <v>0.85886075949367091</v>
      </c>
      <c r="H14" s="14">
        <f t="shared" si="2"/>
        <v>97.45999999999998</v>
      </c>
      <c r="I14" s="26">
        <f t="shared" si="3"/>
        <v>0.25817902460992337</v>
      </c>
    </row>
    <row r="15" spans="1:19" x14ac:dyDescent="0.25">
      <c r="A15" s="13" t="s">
        <v>17</v>
      </c>
      <c r="B15" s="14">
        <v>312.49</v>
      </c>
      <c r="C15" s="14">
        <v>363.01999999999992</v>
      </c>
      <c r="D15" s="14">
        <v>315</v>
      </c>
      <c r="E15" s="14">
        <v>377</v>
      </c>
      <c r="F15" s="26">
        <f t="shared" si="0"/>
        <v>0.99203174603174604</v>
      </c>
      <c r="G15" s="26">
        <f t="shared" si="1"/>
        <v>0.96291777188328898</v>
      </c>
      <c r="H15" s="14">
        <f t="shared" si="2"/>
        <v>50.529999999999916</v>
      </c>
      <c r="I15" s="26">
        <f t="shared" si="3"/>
        <v>0.16170117443758181</v>
      </c>
    </row>
    <row r="16" spans="1:19" x14ac:dyDescent="0.25">
      <c r="A16" s="13" t="s">
        <v>18</v>
      </c>
      <c r="B16" s="14">
        <v>326.90999999999997</v>
      </c>
      <c r="C16" s="14">
        <v>386.87999999999994</v>
      </c>
      <c r="D16" s="14">
        <v>327</v>
      </c>
      <c r="E16" s="14">
        <v>395</v>
      </c>
      <c r="F16" s="26">
        <f t="shared" si="0"/>
        <v>0.99972477064220178</v>
      </c>
      <c r="G16" s="26">
        <f t="shared" si="1"/>
        <v>0.97944303797468335</v>
      </c>
      <c r="H16" s="14">
        <f t="shared" si="2"/>
        <v>59.96999999999997</v>
      </c>
      <c r="I16" s="26">
        <f t="shared" si="3"/>
        <v>0.18344498485821781</v>
      </c>
    </row>
    <row r="17" spans="1:9" x14ac:dyDescent="0.25">
      <c r="A17" s="16" t="s">
        <v>50</v>
      </c>
      <c r="B17" s="17">
        <f>SUM(B18:B20)</f>
        <v>313.89999999999998</v>
      </c>
      <c r="C17" s="17">
        <f>SUM(C18:C20)</f>
        <v>383.07000000000005</v>
      </c>
      <c r="D17" s="17"/>
      <c r="E17" s="17">
        <v>415</v>
      </c>
      <c r="F17" s="25" t="str">
        <f t="shared" si="0"/>
        <v/>
      </c>
      <c r="G17" s="25">
        <f t="shared" si="1"/>
        <v>0.92306024096385553</v>
      </c>
      <c r="H17" s="17">
        <f t="shared" si="2"/>
        <v>69.170000000000073</v>
      </c>
      <c r="I17" s="25">
        <f t="shared" si="3"/>
        <v>0.22035680152914972</v>
      </c>
    </row>
    <row r="18" spans="1:9" x14ac:dyDescent="0.25">
      <c r="A18" s="13" t="s">
        <v>19</v>
      </c>
      <c r="B18" s="14">
        <v>21.17</v>
      </c>
      <c r="C18" s="14">
        <v>29.15</v>
      </c>
      <c r="D18" s="14"/>
      <c r="E18" s="14">
        <v>29</v>
      </c>
      <c r="F18" s="26" t="str">
        <f t="shared" si="0"/>
        <v/>
      </c>
      <c r="G18" s="26">
        <f t="shared" si="1"/>
        <v>1.0051724137931033</v>
      </c>
      <c r="H18" s="14">
        <f t="shared" si="2"/>
        <v>7.9799999999999969</v>
      </c>
      <c r="I18" s="26">
        <f t="shared" si="3"/>
        <v>0.37694851204534707</v>
      </c>
    </row>
    <row r="19" spans="1:9" x14ac:dyDescent="0.25">
      <c r="A19" s="13" t="s">
        <v>20</v>
      </c>
      <c r="B19" s="14">
        <v>99.509999999999991</v>
      </c>
      <c r="C19" s="14">
        <v>130.69000000000003</v>
      </c>
      <c r="D19" s="14"/>
      <c r="E19" s="14">
        <v>163</v>
      </c>
      <c r="F19" s="26" t="str">
        <f t="shared" si="0"/>
        <v/>
      </c>
      <c r="G19" s="26">
        <f t="shared" si="1"/>
        <v>0.8017791411042946</v>
      </c>
      <c r="H19" s="14">
        <f t="shared" si="2"/>
        <v>31.180000000000035</v>
      </c>
      <c r="I19" s="26">
        <f t="shared" si="3"/>
        <v>0.31333534318159018</v>
      </c>
    </row>
    <row r="20" spans="1:9" x14ac:dyDescent="0.25">
      <c r="A20" s="13" t="s">
        <v>21</v>
      </c>
      <c r="B20" s="14">
        <v>193.21999999999997</v>
      </c>
      <c r="C20" s="14">
        <v>223.23000000000002</v>
      </c>
      <c r="D20" s="14"/>
      <c r="E20" s="14">
        <v>223</v>
      </c>
      <c r="F20" s="26" t="str">
        <f t="shared" si="0"/>
        <v/>
      </c>
      <c r="G20" s="26">
        <f t="shared" si="1"/>
        <v>1.0010313901345291</v>
      </c>
      <c r="H20" s="14">
        <f t="shared" si="2"/>
        <v>30.010000000000048</v>
      </c>
      <c r="I20" s="26">
        <f t="shared" si="3"/>
        <v>0.15531518476348238</v>
      </c>
    </row>
    <row r="21" spans="1:9" x14ac:dyDescent="0.25">
      <c r="A21" s="16" t="s">
        <v>60</v>
      </c>
      <c r="B21" s="17">
        <f>SUM(B22:B24)</f>
        <v>149.54</v>
      </c>
      <c r="C21" s="17">
        <v>164.30999999999997</v>
      </c>
      <c r="D21" s="17">
        <v>142</v>
      </c>
      <c r="E21" s="17">
        <v>148</v>
      </c>
      <c r="F21" s="25">
        <f t="shared" si="0"/>
        <v>1.0530985915492956</v>
      </c>
      <c r="G21" s="25">
        <f t="shared" si="1"/>
        <v>1.1102027027027026</v>
      </c>
      <c r="H21" s="17">
        <f t="shared" si="2"/>
        <v>14.769999999999982</v>
      </c>
      <c r="I21" s="25">
        <f t="shared" si="3"/>
        <v>9.876955998395065E-2</v>
      </c>
    </row>
    <row r="22" spans="1:9" x14ac:dyDescent="0.25">
      <c r="A22" s="13" t="s">
        <v>22</v>
      </c>
      <c r="B22" s="14">
        <v>2.2800000000000002</v>
      </c>
      <c r="C22" s="14">
        <v>2.21</v>
      </c>
      <c r="D22" s="14"/>
      <c r="E22" s="14"/>
      <c r="F22" s="26" t="str">
        <f t="shared" si="0"/>
        <v/>
      </c>
      <c r="G22" s="26" t="str">
        <f t="shared" si="1"/>
        <v/>
      </c>
      <c r="H22" s="14">
        <f t="shared" si="2"/>
        <v>-7.0000000000000284E-2</v>
      </c>
      <c r="I22" s="26">
        <f t="shared" si="3"/>
        <v>-3.0701754385965008E-2</v>
      </c>
    </row>
    <row r="23" spans="1:9" x14ac:dyDescent="0.25">
      <c r="A23" s="13" t="s">
        <v>23</v>
      </c>
      <c r="B23" s="14">
        <v>2.23</v>
      </c>
      <c r="C23" s="14">
        <v>2.2199999999999998</v>
      </c>
      <c r="D23" s="14">
        <v>2</v>
      </c>
      <c r="E23" s="14">
        <v>2</v>
      </c>
      <c r="F23" s="26">
        <f t="shared" si="0"/>
        <v>1.115</v>
      </c>
      <c r="G23" s="26">
        <f t="shared" si="1"/>
        <v>1.1099999999999999</v>
      </c>
      <c r="H23" s="14">
        <f t="shared" si="2"/>
        <v>-1.0000000000000231E-2</v>
      </c>
      <c r="I23" s="26">
        <f t="shared" si="3"/>
        <v>-4.48430493273555E-3</v>
      </c>
    </row>
    <row r="24" spans="1:9" x14ac:dyDescent="0.25">
      <c r="A24" s="13" t="s">
        <v>24</v>
      </c>
      <c r="B24" s="14">
        <v>145.03</v>
      </c>
      <c r="C24" s="14">
        <v>159.88</v>
      </c>
      <c r="D24" s="14">
        <v>140</v>
      </c>
      <c r="E24" s="14">
        <v>146</v>
      </c>
      <c r="F24" s="26">
        <f t="shared" si="0"/>
        <v>1.0359285714285715</v>
      </c>
      <c r="G24" s="26">
        <f t="shared" si="1"/>
        <v>1.0950684931506849</v>
      </c>
      <c r="H24" s="14">
        <f t="shared" si="2"/>
        <v>14.849999999999994</v>
      </c>
      <c r="I24" s="26">
        <f t="shared" si="3"/>
        <v>0.10239260842584286</v>
      </c>
    </row>
    <row r="25" spans="1:9" x14ac:dyDescent="0.25">
      <c r="A25" s="16" t="s">
        <v>51</v>
      </c>
      <c r="B25" s="17">
        <f>SUM(B26:B29)</f>
        <v>209.93999999999997</v>
      </c>
      <c r="C25" s="17">
        <f>SUM(C26:C29)</f>
        <v>231.85000000000002</v>
      </c>
      <c r="D25" s="66">
        <v>209</v>
      </c>
      <c r="E25" s="66">
        <v>233</v>
      </c>
      <c r="F25" s="25">
        <f t="shared" si="0"/>
        <v>1.0044976076555023</v>
      </c>
      <c r="G25" s="25">
        <f t="shared" si="1"/>
        <v>0.99506437768240352</v>
      </c>
      <c r="H25" s="17">
        <f t="shared" si="2"/>
        <v>21.910000000000053</v>
      </c>
      <c r="I25" s="25">
        <f t="shared" si="3"/>
        <v>0.10436315137658414</v>
      </c>
    </row>
    <row r="26" spans="1:9" x14ac:dyDescent="0.25">
      <c r="A26" s="13" t="s">
        <v>25</v>
      </c>
      <c r="B26" s="14">
        <v>2.48</v>
      </c>
      <c r="C26" s="14">
        <v>2.23</v>
      </c>
      <c r="D26" s="67"/>
      <c r="E26" s="67">
        <v>4</v>
      </c>
      <c r="F26" s="26" t="str">
        <f t="shared" si="0"/>
        <v/>
      </c>
      <c r="G26" s="26">
        <f t="shared" si="1"/>
        <v>0.5575</v>
      </c>
      <c r="H26" s="14">
        <f t="shared" si="2"/>
        <v>-0.25</v>
      </c>
      <c r="I26" s="26">
        <f t="shared" si="3"/>
        <v>-0.10080645161290325</v>
      </c>
    </row>
    <row r="27" spans="1:9" x14ac:dyDescent="0.25">
      <c r="A27" s="13" t="s">
        <v>26</v>
      </c>
      <c r="B27" s="14"/>
      <c r="C27" s="14">
        <v>2.54</v>
      </c>
      <c r="D27" s="67"/>
      <c r="E27" s="67">
        <v>3</v>
      </c>
      <c r="F27" s="26" t="str">
        <f t="shared" si="0"/>
        <v/>
      </c>
      <c r="G27" s="26">
        <f t="shared" si="1"/>
        <v>0.84666666666666668</v>
      </c>
      <c r="H27" s="14">
        <f t="shared" si="2"/>
        <v>2.54</v>
      </c>
      <c r="I27" s="26" t="str">
        <f t="shared" si="3"/>
        <v/>
      </c>
    </row>
    <row r="28" spans="1:9" x14ac:dyDescent="0.25">
      <c r="A28" s="13" t="s">
        <v>27</v>
      </c>
      <c r="B28" s="14">
        <v>199.82</v>
      </c>
      <c r="C28" s="14">
        <v>220.71</v>
      </c>
      <c r="D28" s="67"/>
      <c r="E28" s="67">
        <v>220</v>
      </c>
      <c r="F28" s="26" t="str">
        <f t="shared" si="0"/>
        <v/>
      </c>
      <c r="G28" s="26">
        <f t="shared" si="1"/>
        <v>1.0032272727272729</v>
      </c>
      <c r="H28" s="14">
        <f t="shared" si="2"/>
        <v>20.890000000000015</v>
      </c>
      <c r="I28" s="26">
        <f t="shared" si="3"/>
        <v>0.10454408968071283</v>
      </c>
    </row>
    <row r="29" spans="1:9" x14ac:dyDescent="0.25">
      <c r="A29" s="13" t="s">
        <v>28</v>
      </c>
      <c r="B29" s="14">
        <v>7.64</v>
      </c>
      <c r="C29" s="14">
        <v>6.3699999999999992</v>
      </c>
      <c r="D29" s="67">
        <v>8</v>
      </c>
      <c r="E29" s="67">
        <v>6</v>
      </c>
      <c r="F29" s="26">
        <f t="shared" si="0"/>
        <v>0.95499999999999996</v>
      </c>
      <c r="G29" s="26">
        <f t="shared" si="1"/>
        <v>1.0616666666666665</v>
      </c>
      <c r="H29" s="14">
        <f t="shared" si="2"/>
        <v>-1.2700000000000005</v>
      </c>
      <c r="I29" s="26">
        <f t="shared" si="3"/>
        <v>-0.16623036649214662</v>
      </c>
    </row>
    <row r="30" spans="1:9" x14ac:dyDescent="0.25">
      <c r="A30" s="16" t="s">
        <v>52</v>
      </c>
      <c r="B30" s="17">
        <f>SUM(B31:B35)</f>
        <v>23719.399999999998</v>
      </c>
      <c r="C30" s="17">
        <v>29250.860000000008</v>
      </c>
      <c r="D30" s="17">
        <v>22831</v>
      </c>
      <c r="E30" s="17">
        <v>28293</v>
      </c>
      <c r="F30" s="25">
        <f t="shared" si="0"/>
        <v>1.0389120056064123</v>
      </c>
      <c r="G30" s="25">
        <f t="shared" si="1"/>
        <v>1.0338550171420495</v>
      </c>
      <c r="H30" s="17">
        <f t="shared" si="2"/>
        <v>5531.46000000001</v>
      </c>
      <c r="I30" s="25">
        <f t="shared" si="3"/>
        <v>0.23320404394714922</v>
      </c>
    </row>
    <row r="31" spans="1:9" x14ac:dyDescent="0.25">
      <c r="A31" s="13" t="s">
        <v>29</v>
      </c>
      <c r="B31" s="14">
        <v>5501.31</v>
      </c>
      <c r="C31" s="14">
        <v>6881.8600000000024</v>
      </c>
      <c r="D31" s="14">
        <v>4509</v>
      </c>
      <c r="E31" s="14">
        <v>5845</v>
      </c>
      <c r="F31" s="26">
        <f t="shared" si="0"/>
        <v>1.2200731869594146</v>
      </c>
      <c r="G31" s="26">
        <f t="shared" si="1"/>
        <v>1.1773926432848594</v>
      </c>
      <c r="H31" s="14">
        <f t="shared" si="2"/>
        <v>1380.550000000002</v>
      </c>
      <c r="I31" s="26">
        <f t="shared" si="3"/>
        <v>0.25094931934393849</v>
      </c>
    </row>
    <row r="32" spans="1:9" x14ac:dyDescent="0.25">
      <c r="A32" s="13" t="s">
        <v>30</v>
      </c>
      <c r="B32" s="14">
        <v>7416.8</v>
      </c>
      <c r="C32" s="14">
        <v>8969.9300000000021</v>
      </c>
      <c r="D32" s="14">
        <v>7463</v>
      </c>
      <c r="E32" s="14">
        <v>8965</v>
      </c>
      <c r="F32" s="26">
        <f t="shared" si="0"/>
        <v>0.99380946000267989</v>
      </c>
      <c r="G32" s="26">
        <f t="shared" si="1"/>
        <v>1.0005499163413276</v>
      </c>
      <c r="H32" s="14">
        <f t="shared" si="2"/>
        <v>1553.1300000000019</v>
      </c>
      <c r="I32" s="26">
        <f t="shared" si="3"/>
        <v>0.20940702189623583</v>
      </c>
    </row>
    <row r="33" spans="1:9" x14ac:dyDescent="0.25">
      <c r="A33" s="13" t="s">
        <v>31</v>
      </c>
      <c r="B33" s="14">
        <v>3884.61</v>
      </c>
      <c r="C33" s="14">
        <v>4882.4400000000014</v>
      </c>
      <c r="D33" s="14">
        <v>3869</v>
      </c>
      <c r="E33" s="14">
        <v>4866</v>
      </c>
      <c r="F33" s="26">
        <f t="shared" si="0"/>
        <v>1.0040346342724218</v>
      </c>
      <c r="G33" s="26">
        <f t="shared" si="1"/>
        <v>1.0033785450061654</v>
      </c>
      <c r="H33" s="14">
        <f t="shared" si="2"/>
        <v>997.83000000000129</v>
      </c>
      <c r="I33" s="26">
        <f t="shared" si="3"/>
        <v>0.25686748476681087</v>
      </c>
    </row>
    <row r="34" spans="1:9" x14ac:dyDescent="0.25">
      <c r="A34" s="13" t="s">
        <v>32</v>
      </c>
      <c r="B34" s="14">
        <v>168.20000000000002</v>
      </c>
      <c r="C34" s="14">
        <v>197.85999999999996</v>
      </c>
      <c r="D34" s="14">
        <v>172</v>
      </c>
      <c r="E34" s="14">
        <v>198</v>
      </c>
      <c r="F34" s="26">
        <f t="shared" si="0"/>
        <v>0.97790697674418614</v>
      </c>
      <c r="G34" s="26">
        <f t="shared" si="1"/>
        <v>0.99929292929292912</v>
      </c>
      <c r="H34" s="14">
        <f t="shared" si="2"/>
        <v>29.65999999999994</v>
      </c>
      <c r="I34" s="26">
        <f t="shared" si="3"/>
        <v>0.17633769322235393</v>
      </c>
    </row>
    <row r="35" spans="1:9" x14ac:dyDescent="0.25">
      <c r="A35" s="13" t="s">
        <v>33</v>
      </c>
      <c r="B35" s="14">
        <v>6748.4799999999968</v>
      </c>
      <c r="C35" s="14">
        <v>8318.77</v>
      </c>
      <c r="D35" s="14">
        <v>6818</v>
      </c>
      <c r="E35" s="14">
        <v>8419</v>
      </c>
      <c r="F35" s="26">
        <f t="shared" si="0"/>
        <v>0.98980346142563758</v>
      </c>
      <c r="G35" s="26">
        <f t="shared" si="1"/>
        <v>0.988094785603991</v>
      </c>
      <c r="H35" s="14">
        <f t="shared" si="2"/>
        <v>1570.2900000000036</v>
      </c>
      <c r="I35" s="26">
        <f t="shared" si="3"/>
        <v>0.23268795343544091</v>
      </c>
    </row>
    <row r="36" spans="1:9" x14ac:dyDescent="0.25">
      <c r="A36" s="16" t="s">
        <v>53</v>
      </c>
      <c r="B36" s="17">
        <f>SUM(B37:B45)</f>
        <v>1303.8500000000001</v>
      </c>
      <c r="C36" s="17">
        <v>1761.6699999999996</v>
      </c>
      <c r="D36" s="17">
        <v>395</v>
      </c>
      <c r="E36" s="17">
        <v>453</v>
      </c>
      <c r="F36" s="25">
        <f t="shared" si="0"/>
        <v>3.3008860759493674</v>
      </c>
      <c r="G36" s="25">
        <f t="shared" si="1"/>
        <v>3.8888962472406172</v>
      </c>
      <c r="H36" s="17">
        <f t="shared" si="2"/>
        <v>457.81999999999948</v>
      </c>
      <c r="I36" s="25">
        <f t="shared" si="3"/>
        <v>0.35112934770103887</v>
      </c>
    </row>
    <row r="37" spans="1:9" x14ac:dyDescent="0.25">
      <c r="A37" s="13" t="s">
        <v>34</v>
      </c>
      <c r="B37" s="14">
        <v>102.59000000000002</v>
      </c>
      <c r="C37" s="14">
        <v>101.94000000000001</v>
      </c>
      <c r="D37" s="14">
        <v>73</v>
      </c>
      <c r="E37" s="14">
        <v>90</v>
      </c>
      <c r="F37" s="26">
        <f t="shared" si="0"/>
        <v>1.4053424657534248</v>
      </c>
      <c r="G37" s="26">
        <f t="shared" si="1"/>
        <v>1.1326666666666667</v>
      </c>
      <c r="H37" s="14">
        <f t="shared" si="2"/>
        <v>-0.65000000000000568</v>
      </c>
      <c r="I37" s="26">
        <f t="shared" si="3"/>
        <v>-6.335900185203247E-3</v>
      </c>
    </row>
    <row r="38" spans="1:9" x14ac:dyDescent="0.25">
      <c r="A38" s="13" t="s">
        <v>35</v>
      </c>
      <c r="B38" s="14">
        <v>61.769999999999989</v>
      </c>
      <c r="C38" s="14">
        <v>75.479999999999976</v>
      </c>
      <c r="D38" s="14">
        <v>61</v>
      </c>
      <c r="E38" s="14">
        <v>72</v>
      </c>
      <c r="F38" s="26">
        <f t="shared" si="0"/>
        <v>1.012622950819672</v>
      </c>
      <c r="G38" s="26">
        <f t="shared" si="1"/>
        <v>1.0483333333333329</v>
      </c>
      <c r="H38" s="14">
        <f t="shared" si="2"/>
        <v>13.709999999999987</v>
      </c>
      <c r="I38" s="26">
        <f t="shared" si="3"/>
        <v>0.22195240407965011</v>
      </c>
    </row>
    <row r="39" spans="1:9" x14ac:dyDescent="0.25">
      <c r="A39" s="13" t="s">
        <v>36</v>
      </c>
      <c r="B39" s="14">
        <v>12.780000000000001</v>
      </c>
      <c r="C39" s="14">
        <v>7.6899999999999995</v>
      </c>
      <c r="D39" s="14">
        <v>16</v>
      </c>
      <c r="E39" s="14">
        <v>15</v>
      </c>
      <c r="F39" s="26">
        <f t="shared" si="0"/>
        <v>0.79875000000000007</v>
      </c>
      <c r="G39" s="26">
        <f t="shared" si="1"/>
        <v>0.5126666666666666</v>
      </c>
      <c r="H39" s="14">
        <f t="shared" si="2"/>
        <v>-5.0900000000000016</v>
      </c>
      <c r="I39" s="26">
        <f t="shared" si="3"/>
        <v>-0.39827856025039132</v>
      </c>
    </row>
    <row r="40" spans="1:9" x14ac:dyDescent="0.25">
      <c r="A40" s="13" t="s">
        <v>37</v>
      </c>
      <c r="B40" s="14">
        <v>65.70999999999998</v>
      </c>
      <c r="C40" s="14">
        <v>72.87</v>
      </c>
      <c r="D40" s="14">
        <v>66</v>
      </c>
      <c r="E40" s="14">
        <v>75</v>
      </c>
      <c r="F40" s="26">
        <f t="shared" si="0"/>
        <v>0.99560606060606027</v>
      </c>
      <c r="G40" s="26">
        <f t="shared" si="1"/>
        <v>0.97160000000000002</v>
      </c>
      <c r="H40" s="14">
        <f t="shared" si="2"/>
        <v>7.160000000000025</v>
      </c>
      <c r="I40" s="26">
        <f t="shared" si="3"/>
        <v>0.10896362806270021</v>
      </c>
    </row>
    <row r="41" spans="1:9" x14ac:dyDescent="0.25">
      <c r="A41" s="13" t="s">
        <v>38</v>
      </c>
      <c r="B41" s="14">
        <v>85.61</v>
      </c>
      <c r="C41" s="14">
        <v>104.77</v>
      </c>
      <c r="D41" s="14">
        <v>86</v>
      </c>
      <c r="E41" s="14">
        <v>105</v>
      </c>
      <c r="F41" s="26">
        <f t="shared" si="0"/>
        <v>0.99546511627906975</v>
      </c>
      <c r="G41" s="26">
        <f t="shared" si="1"/>
        <v>0.99780952380952381</v>
      </c>
      <c r="H41" s="14">
        <f t="shared" si="2"/>
        <v>19.159999999999997</v>
      </c>
      <c r="I41" s="26">
        <f t="shared" si="3"/>
        <v>0.22380563018338973</v>
      </c>
    </row>
    <row r="42" spans="1:9" x14ac:dyDescent="0.25">
      <c r="A42" s="13" t="s">
        <v>39</v>
      </c>
      <c r="B42" s="14">
        <v>125.52000000000001</v>
      </c>
      <c r="C42" s="14">
        <v>162.79999999999998</v>
      </c>
      <c r="D42" s="14"/>
      <c r="E42" s="14"/>
      <c r="F42" s="26" t="str">
        <f t="shared" si="0"/>
        <v/>
      </c>
      <c r="G42" s="26" t="str">
        <f t="shared" si="1"/>
        <v/>
      </c>
      <c r="H42" s="14">
        <f t="shared" si="2"/>
        <v>37.279999999999973</v>
      </c>
      <c r="I42" s="26">
        <f t="shared" si="3"/>
        <v>0.29700446144040771</v>
      </c>
    </row>
    <row r="43" spans="1:9" x14ac:dyDescent="0.25">
      <c r="A43" s="13" t="s">
        <v>40</v>
      </c>
      <c r="B43" s="14">
        <v>17.270000000000003</v>
      </c>
      <c r="C43" s="14">
        <v>33.03</v>
      </c>
      <c r="D43" s="14">
        <v>17</v>
      </c>
      <c r="E43" s="14">
        <v>28</v>
      </c>
      <c r="F43" s="26">
        <f t="shared" si="0"/>
        <v>1.0158823529411767</v>
      </c>
      <c r="G43" s="26">
        <f t="shared" si="1"/>
        <v>1.1796428571428572</v>
      </c>
      <c r="H43" s="14">
        <f t="shared" si="2"/>
        <v>15.759999999999998</v>
      </c>
      <c r="I43" s="26">
        <f t="shared" si="3"/>
        <v>0.91256514186450466</v>
      </c>
    </row>
    <row r="44" spans="1:9" x14ac:dyDescent="0.25">
      <c r="A44" s="13" t="s">
        <v>41</v>
      </c>
      <c r="B44" s="14">
        <v>412.08000000000004</v>
      </c>
      <c r="C44" s="14">
        <v>629.00999999999988</v>
      </c>
      <c r="D44" s="14">
        <v>8</v>
      </c>
      <c r="E44" s="14"/>
      <c r="F44" s="26">
        <f t="shared" si="0"/>
        <v>51.510000000000005</v>
      </c>
      <c r="G44" s="26" t="str">
        <f t="shared" si="1"/>
        <v/>
      </c>
      <c r="H44" s="14">
        <f t="shared" si="2"/>
        <v>216.92999999999984</v>
      </c>
      <c r="I44" s="26">
        <f t="shared" si="3"/>
        <v>0.52642690739662146</v>
      </c>
    </row>
    <row r="45" spans="1:9" x14ac:dyDescent="0.25">
      <c r="A45" s="13" t="s">
        <v>42</v>
      </c>
      <c r="B45" s="14">
        <v>420.52000000000015</v>
      </c>
      <c r="C45" s="14">
        <v>574.08000000000004</v>
      </c>
      <c r="D45" s="14">
        <v>68</v>
      </c>
      <c r="E45" s="14">
        <v>68</v>
      </c>
      <c r="F45" s="26">
        <f t="shared" si="0"/>
        <v>6.1841176470588257</v>
      </c>
      <c r="G45" s="26">
        <f t="shared" si="1"/>
        <v>8.4423529411764715</v>
      </c>
      <c r="H45" s="14">
        <f t="shared" si="2"/>
        <v>153.55999999999989</v>
      </c>
      <c r="I45" s="26">
        <f t="shared" si="3"/>
        <v>0.36516693617425999</v>
      </c>
    </row>
    <row r="46" spans="1:9" x14ac:dyDescent="0.25">
      <c r="A46" s="16" t="s">
        <v>54</v>
      </c>
      <c r="B46" s="17">
        <f>SUM(B47:B48)</f>
        <v>890.04</v>
      </c>
      <c r="C46" s="17">
        <v>1140.9099999999999</v>
      </c>
      <c r="D46" s="17">
        <v>333</v>
      </c>
      <c r="E46" s="17">
        <v>391</v>
      </c>
      <c r="F46" s="25">
        <f t="shared" si="0"/>
        <v>2.6727927927927926</v>
      </c>
      <c r="G46" s="25">
        <f t="shared" si="1"/>
        <v>2.9179283887468026</v>
      </c>
      <c r="H46" s="17">
        <f t="shared" si="2"/>
        <v>250.86999999999989</v>
      </c>
      <c r="I46" s="25">
        <f t="shared" si="3"/>
        <v>0.2818637364612826</v>
      </c>
    </row>
    <row r="47" spans="1:9" x14ac:dyDescent="0.25">
      <c r="A47" s="13" t="s">
        <v>43</v>
      </c>
      <c r="B47" s="14">
        <v>760.1</v>
      </c>
      <c r="C47" s="14">
        <v>1048.1699999999994</v>
      </c>
      <c r="D47" s="14">
        <v>294</v>
      </c>
      <c r="E47" s="14">
        <v>354</v>
      </c>
      <c r="F47" s="26">
        <f t="shared" si="0"/>
        <v>2.5853741496598639</v>
      </c>
      <c r="G47" s="26">
        <f t="shared" si="1"/>
        <v>2.9609322033898287</v>
      </c>
      <c r="H47" s="14">
        <f t="shared" si="2"/>
        <v>288.06999999999937</v>
      </c>
      <c r="I47" s="26">
        <f t="shared" si="3"/>
        <v>0.37898960663070569</v>
      </c>
    </row>
    <row r="48" spans="1:9" x14ac:dyDescent="0.25">
      <c r="A48" s="13" t="s">
        <v>44</v>
      </c>
      <c r="B48" s="14">
        <v>129.94</v>
      </c>
      <c r="C48" s="14">
        <v>92.74</v>
      </c>
      <c r="D48" s="14">
        <v>39</v>
      </c>
      <c r="E48" s="14">
        <v>37</v>
      </c>
      <c r="F48" s="26">
        <f t="shared" si="0"/>
        <v>3.3317948717948718</v>
      </c>
      <c r="G48" s="26">
        <f t="shared" si="1"/>
        <v>2.5064864864864864</v>
      </c>
      <c r="H48" s="14">
        <f t="shared" si="2"/>
        <v>-37.200000000000003</v>
      </c>
      <c r="I48" s="26">
        <f t="shared" si="3"/>
        <v>-0.28628597814375867</v>
      </c>
    </row>
    <row r="49" spans="1:9" x14ac:dyDescent="0.25">
      <c r="A49" s="16" t="s">
        <v>67</v>
      </c>
      <c r="B49" s="17">
        <f>B50</f>
        <v>0.3</v>
      </c>
      <c r="C49" s="17">
        <v>2.8</v>
      </c>
      <c r="D49" s="17"/>
      <c r="E49" s="17"/>
      <c r="F49" s="25" t="str">
        <f t="shared" si="0"/>
        <v/>
      </c>
      <c r="G49" s="25" t="str">
        <f t="shared" si="1"/>
        <v/>
      </c>
      <c r="H49" s="17">
        <f t="shared" si="2"/>
        <v>2.5</v>
      </c>
      <c r="I49" s="25">
        <f t="shared" si="3"/>
        <v>8.3333333333333339</v>
      </c>
    </row>
    <row r="50" spans="1:9" x14ac:dyDescent="0.25">
      <c r="A50" s="13" t="s">
        <v>69</v>
      </c>
      <c r="B50" s="14">
        <v>0.3</v>
      </c>
      <c r="C50" s="14">
        <v>0.3</v>
      </c>
      <c r="D50" s="14"/>
      <c r="E50" s="14"/>
      <c r="F50" s="26" t="str">
        <f t="shared" si="0"/>
        <v/>
      </c>
      <c r="G50" s="26" t="str">
        <f t="shared" si="1"/>
        <v/>
      </c>
      <c r="H50" s="14">
        <f t="shared" si="2"/>
        <v>0</v>
      </c>
      <c r="I50" s="26">
        <f t="shared" si="3"/>
        <v>0</v>
      </c>
    </row>
    <row r="51" spans="1:9" x14ac:dyDescent="0.25">
      <c r="A51" s="13" t="s">
        <v>70</v>
      </c>
      <c r="B51" s="14"/>
      <c r="C51" s="14">
        <v>2.5</v>
      </c>
      <c r="D51" s="14"/>
      <c r="E51" s="14"/>
      <c r="F51" s="26"/>
      <c r="G51" s="26"/>
      <c r="H51" s="14"/>
      <c r="I51" s="26"/>
    </row>
    <row r="52" spans="1:9" x14ac:dyDescent="0.25">
      <c r="A52" s="16" t="s">
        <v>75</v>
      </c>
      <c r="B52" s="17">
        <f>B53</f>
        <v>0.96000000000000008</v>
      </c>
      <c r="C52" s="17">
        <v>0.96000000000000008</v>
      </c>
      <c r="D52" s="17"/>
      <c r="E52" s="17"/>
      <c r="F52" s="25" t="str">
        <f t="shared" si="0"/>
        <v/>
      </c>
      <c r="G52" s="25" t="str">
        <f t="shared" si="1"/>
        <v/>
      </c>
      <c r="H52" s="17">
        <f t="shared" si="2"/>
        <v>0</v>
      </c>
      <c r="I52" s="25">
        <f t="shared" si="3"/>
        <v>0</v>
      </c>
    </row>
    <row r="53" spans="1:9" x14ac:dyDescent="0.25">
      <c r="A53" s="13" t="s">
        <v>78</v>
      </c>
      <c r="B53" s="14">
        <v>0.96000000000000008</v>
      </c>
      <c r="C53" s="14">
        <v>0.96000000000000008</v>
      </c>
      <c r="D53" s="14"/>
      <c r="E53" s="14"/>
      <c r="F53" s="26" t="str">
        <f t="shared" si="0"/>
        <v/>
      </c>
      <c r="G53" s="26" t="str">
        <f t="shared" si="1"/>
        <v/>
      </c>
      <c r="H53" s="14">
        <f t="shared" si="2"/>
        <v>0</v>
      </c>
      <c r="I53" s="26">
        <f t="shared" si="3"/>
        <v>0</v>
      </c>
    </row>
    <row r="54" spans="1:9" x14ac:dyDescent="0.25">
      <c r="A54" s="16" t="s">
        <v>55</v>
      </c>
      <c r="B54" s="17">
        <f>B55</f>
        <v>28.320000000000004</v>
      </c>
      <c r="C54" s="17">
        <v>46.049999999999983</v>
      </c>
      <c r="D54" s="17"/>
      <c r="E54" s="17">
        <v>33</v>
      </c>
      <c r="F54" s="25" t="str">
        <f t="shared" si="0"/>
        <v/>
      </c>
      <c r="G54" s="25">
        <f t="shared" si="1"/>
        <v>1.3954545454545448</v>
      </c>
      <c r="H54" s="17">
        <f t="shared" si="2"/>
        <v>17.729999999999979</v>
      </c>
      <c r="I54" s="25">
        <f t="shared" si="3"/>
        <v>0.62605932203389747</v>
      </c>
    </row>
    <row r="55" spans="1:9" x14ac:dyDescent="0.25">
      <c r="A55" s="13" t="s">
        <v>45</v>
      </c>
      <c r="B55" s="14">
        <v>28.320000000000004</v>
      </c>
      <c r="C55" s="14">
        <v>46.049999999999983</v>
      </c>
      <c r="D55" s="14"/>
      <c r="E55" s="14">
        <v>33</v>
      </c>
      <c r="F55" s="26" t="str">
        <f t="shared" si="0"/>
        <v/>
      </c>
      <c r="G55" s="26">
        <f t="shared" si="1"/>
        <v>1.3954545454545448</v>
      </c>
      <c r="H55" s="14">
        <f t="shared" si="2"/>
        <v>17.729999999999979</v>
      </c>
      <c r="I55" s="26">
        <f t="shared" si="3"/>
        <v>0.62605932203389747</v>
      </c>
    </row>
    <row r="56" spans="1:9" x14ac:dyDescent="0.25">
      <c r="A56" s="16" t="s">
        <v>80</v>
      </c>
      <c r="B56" s="17">
        <f>B57</f>
        <v>206.57</v>
      </c>
      <c r="C56" s="17">
        <v>259.12</v>
      </c>
      <c r="D56" s="17">
        <v>483</v>
      </c>
      <c r="E56" s="17">
        <v>573</v>
      </c>
      <c r="F56" s="25">
        <f t="shared" si="0"/>
        <v>0.42768115942028984</v>
      </c>
      <c r="G56" s="25">
        <f t="shared" si="1"/>
        <v>0.45221640488656195</v>
      </c>
      <c r="H56" s="17">
        <f t="shared" si="2"/>
        <v>52.550000000000011</v>
      </c>
      <c r="I56" s="25">
        <f t="shared" si="3"/>
        <v>0.25439318390860244</v>
      </c>
    </row>
    <row r="57" spans="1:9" x14ac:dyDescent="0.25">
      <c r="A57" s="13" t="s">
        <v>81</v>
      </c>
      <c r="B57" s="14">
        <v>206.57</v>
      </c>
      <c r="C57" s="14">
        <v>259.12000000000006</v>
      </c>
      <c r="D57" s="14">
        <v>483</v>
      </c>
      <c r="E57" s="14">
        <v>573</v>
      </c>
      <c r="F57" s="26">
        <f t="shared" si="0"/>
        <v>0.42768115942028984</v>
      </c>
      <c r="G57" s="26">
        <f t="shared" si="1"/>
        <v>0.45221640488656206</v>
      </c>
      <c r="H57" s="14">
        <f t="shared" si="2"/>
        <v>52.550000000000068</v>
      </c>
      <c r="I57" s="26">
        <f t="shared" si="3"/>
        <v>0.25439318390860266</v>
      </c>
    </row>
    <row r="58" spans="1:9" x14ac:dyDescent="0.25">
      <c r="A58" s="16" t="s">
        <v>56</v>
      </c>
      <c r="B58" s="17">
        <f>B59</f>
        <v>333.68</v>
      </c>
      <c r="C58" s="17">
        <v>366.9899999999999</v>
      </c>
      <c r="D58" s="17">
        <v>339</v>
      </c>
      <c r="E58" s="17">
        <v>375</v>
      </c>
      <c r="F58" s="25">
        <f t="shared" si="0"/>
        <v>0.98430678466076693</v>
      </c>
      <c r="G58" s="25">
        <f t="shared" si="1"/>
        <v>0.97863999999999973</v>
      </c>
      <c r="H58" s="17">
        <f t="shared" si="2"/>
        <v>33.309999999999889</v>
      </c>
      <c r="I58" s="25">
        <f t="shared" si="3"/>
        <v>9.9826180771996897E-2</v>
      </c>
    </row>
    <row r="59" spans="1:9" x14ac:dyDescent="0.25">
      <c r="A59" s="13" t="s">
        <v>46</v>
      </c>
      <c r="B59" s="14">
        <v>333.68</v>
      </c>
      <c r="C59" s="14">
        <v>366.9899999999999</v>
      </c>
      <c r="D59" s="14">
        <v>339</v>
      </c>
      <c r="E59" s="14">
        <v>375</v>
      </c>
      <c r="F59" s="26">
        <f t="shared" si="0"/>
        <v>0.98430678466076693</v>
      </c>
      <c r="G59" s="26">
        <f t="shared" si="1"/>
        <v>0.97863999999999973</v>
      </c>
      <c r="H59" s="14">
        <f t="shared" si="2"/>
        <v>33.309999999999889</v>
      </c>
      <c r="I59" s="26">
        <f t="shared" si="3"/>
        <v>9.9826180771996897E-2</v>
      </c>
    </row>
    <row r="60" spans="1:9" x14ac:dyDescent="0.25">
      <c r="A60" s="16" t="s">
        <v>57</v>
      </c>
      <c r="B60" s="17">
        <f>B61</f>
        <v>2.87</v>
      </c>
      <c r="C60" s="17">
        <v>14.629999999999999</v>
      </c>
      <c r="D60" s="17"/>
      <c r="E60" s="17">
        <v>12</v>
      </c>
      <c r="F60" s="25" t="str">
        <f t="shared" si="0"/>
        <v/>
      </c>
      <c r="G60" s="25">
        <f t="shared" si="1"/>
        <v>1.2191666666666665</v>
      </c>
      <c r="H60" s="17">
        <f t="shared" si="2"/>
        <v>11.759999999999998</v>
      </c>
      <c r="I60" s="25">
        <f t="shared" si="3"/>
        <v>4.0975609756097553</v>
      </c>
    </row>
    <row r="61" spans="1:9" x14ac:dyDescent="0.25">
      <c r="A61" s="13" t="s">
        <v>47</v>
      </c>
      <c r="B61" s="14">
        <v>2.87</v>
      </c>
      <c r="C61" s="14">
        <v>14.629999999999999</v>
      </c>
      <c r="D61" s="14"/>
      <c r="E61" s="14">
        <v>12</v>
      </c>
      <c r="F61" s="26" t="str">
        <f t="shared" si="0"/>
        <v/>
      </c>
      <c r="G61" s="26">
        <f t="shared" si="1"/>
        <v>1.2191666666666665</v>
      </c>
      <c r="H61" s="14">
        <f t="shared" si="2"/>
        <v>11.759999999999998</v>
      </c>
      <c r="I61" s="26">
        <f t="shared" si="3"/>
        <v>4.0975609756097553</v>
      </c>
    </row>
    <row r="62" spans="1:9" x14ac:dyDescent="0.25">
      <c r="A62" s="18" t="s">
        <v>59</v>
      </c>
      <c r="B62" s="19">
        <f>SUM(B60,B58,B56,B54,B52,B49,B46,B36,B30,B25,B21,B17,B8)</f>
        <v>29554.829999999998</v>
      </c>
      <c r="C62" s="19">
        <f>SUM(C60,C58,C56,C54,C52,C46,C36,C30,C25,C21,C17,C8)</f>
        <v>36509.740000000005</v>
      </c>
      <c r="D62" s="19">
        <f>SUM(D60,D58,D56,D54,D52,D49,D46,D36,D30,D25,D21,D17,D8)</f>
        <v>27194</v>
      </c>
      <c r="E62" s="19">
        <f>SUM(E60,E58,E56,E54,E52,E49,E46,E36,E30,E25,E21,E17,E8)</f>
        <v>33835</v>
      </c>
      <c r="F62" s="27">
        <f t="shared" si="0"/>
        <v>1.0868143708170919</v>
      </c>
      <c r="G62" s="27">
        <f t="shared" si="1"/>
        <v>1.0790524604699276</v>
      </c>
      <c r="H62" s="19">
        <f t="shared" si="2"/>
        <v>6954.9100000000071</v>
      </c>
      <c r="I62" s="27">
        <f t="shared" si="3"/>
        <v>0.23532228065598781</v>
      </c>
    </row>
    <row r="63" spans="1:9" x14ac:dyDescent="0.25">
      <c r="C63" s="163"/>
      <c r="D63" s="164"/>
    </row>
    <row r="64" spans="1:9" x14ac:dyDescent="0.25">
      <c r="C64" s="164"/>
      <c r="D64" s="50"/>
    </row>
    <row r="65" spans="1:19" ht="18.75" x14ac:dyDescent="0.3">
      <c r="A65" s="306" t="s">
        <v>61</v>
      </c>
      <c r="B65" s="306"/>
      <c r="D65" s="3"/>
      <c r="E65" s="2"/>
      <c r="F65" s="5"/>
    </row>
    <row r="66" spans="1:19" ht="34.5" customHeight="1" x14ac:dyDescent="0.25">
      <c r="A66" s="299" t="s">
        <v>2</v>
      </c>
      <c r="B66" s="299" t="s">
        <v>235</v>
      </c>
      <c r="C66" s="299"/>
      <c r="D66" s="300" t="s">
        <v>3</v>
      </c>
      <c r="E66" s="300"/>
      <c r="F66" s="300" t="s">
        <v>236</v>
      </c>
      <c r="G66" s="300"/>
      <c r="H66" s="300" t="s">
        <v>237</v>
      </c>
      <c r="I66" s="300"/>
      <c r="K66" s="296" t="s">
        <v>276</v>
      </c>
      <c r="L66" s="297"/>
    </row>
    <row r="67" spans="1:19" ht="45" x14ac:dyDescent="0.25">
      <c r="A67" s="299"/>
      <c r="B67" s="57">
        <v>2019</v>
      </c>
      <c r="C67" s="58">
        <v>2020</v>
      </c>
      <c r="D67" s="57">
        <v>2019</v>
      </c>
      <c r="E67" s="57">
        <v>2020</v>
      </c>
      <c r="F67" s="58">
        <v>2019</v>
      </c>
      <c r="G67" s="58">
        <v>2020</v>
      </c>
      <c r="H67" s="57" t="s">
        <v>4</v>
      </c>
      <c r="I67" s="59" t="s">
        <v>5</v>
      </c>
      <c r="L67" s="290" t="s">
        <v>240</v>
      </c>
      <c r="M67" s="290" t="s">
        <v>278</v>
      </c>
      <c r="N67" s="291" t="s">
        <v>269</v>
      </c>
      <c r="Q67" s="294" t="s">
        <v>248</v>
      </c>
      <c r="R67" s="294" t="s">
        <v>240</v>
      </c>
      <c r="S67" s="295" t="s">
        <v>279</v>
      </c>
    </row>
    <row r="68" spans="1:19" x14ac:dyDescent="0.25">
      <c r="A68" s="60" t="s">
        <v>62</v>
      </c>
      <c r="B68" s="61">
        <f>SUM(B69:B75)</f>
        <v>866.82000000000016</v>
      </c>
      <c r="C68" s="61">
        <f>SUM(C69:C75)</f>
        <v>1015.4000000000001</v>
      </c>
      <c r="D68" s="61">
        <f>SUM(D69:D75)</f>
        <v>1125</v>
      </c>
      <c r="E68" s="61">
        <f>SUM(E69:E75)</f>
        <v>1335</v>
      </c>
      <c r="F68" s="62">
        <f>IFERROR(B68/D68,"")</f>
        <v>0.77050666666666678</v>
      </c>
      <c r="G68" s="62">
        <f>IFERROR(C68/E68,"")</f>
        <v>0.76059925093632963</v>
      </c>
      <c r="H68" s="61">
        <f>IFERROR(C68-B68,"")</f>
        <v>148.57999999999993</v>
      </c>
      <c r="I68" s="62">
        <f>IFERROR((C68/B68)-1,"")</f>
        <v>0.17140813548372202</v>
      </c>
      <c r="K68" s="292" t="s">
        <v>52</v>
      </c>
      <c r="L68" s="162">
        <f>C89</f>
        <v>8552.4400000000023</v>
      </c>
      <c r="M68" s="162">
        <f>E89</f>
        <v>9648</v>
      </c>
      <c r="N68" s="124">
        <f>L68/M68</f>
        <v>0.88644693200663371</v>
      </c>
      <c r="P68" s="293" t="s">
        <v>52</v>
      </c>
      <c r="Q68" s="162">
        <f>B89</f>
        <v>6133.9100000000008</v>
      </c>
      <c r="R68" s="162">
        <f>C89</f>
        <v>8552.4400000000023</v>
      </c>
      <c r="S68" s="165">
        <f>R68/Q68-1</f>
        <v>0.39428847179042426</v>
      </c>
    </row>
    <row r="69" spans="1:19" x14ac:dyDescent="0.25">
      <c r="A69" s="13" t="s">
        <v>11</v>
      </c>
      <c r="B69" s="14">
        <v>2.1</v>
      </c>
      <c r="C69" s="14">
        <v>4.1899999999999995</v>
      </c>
      <c r="D69" s="14">
        <v>69</v>
      </c>
      <c r="E69" s="14">
        <v>71</v>
      </c>
      <c r="F69" s="26">
        <f t="shared" ref="F69:F118" si="6">IFERROR(B69/D69,"")</f>
        <v>3.0434782608695653E-2</v>
      </c>
      <c r="G69" s="26">
        <f t="shared" ref="G69:G118" si="7">IFERROR(C69/E69,"")</f>
        <v>5.901408450704225E-2</v>
      </c>
      <c r="H69" s="14">
        <f t="shared" ref="H69:H118" si="8">IFERROR(C69-B69,"")</f>
        <v>2.0899999999999994</v>
      </c>
      <c r="I69" s="26">
        <f t="shared" ref="I69:I117" si="9">IFERROR((C69/B69)-1,"")</f>
        <v>0.99523809523809481</v>
      </c>
      <c r="K69" s="292" t="s">
        <v>62</v>
      </c>
      <c r="L69" s="162">
        <f>C68</f>
        <v>1015.4000000000001</v>
      </c>
      <c r="M69" s="162">
        <f>E68</f>
        <v>1335</v>
      </c>
      <c r="N69" s="124">
        <f t="shared" ref="N69:N72" si="10">L69/M69</f>
        <v>0.76059925093632963</v>
      </c>
      <c r="P69" s="293" t="s">
        <v>62</v>
      </c>
      <c r="Q69" s="162">
        <f>B68</f>
        <v>866.82000000000016</v>
      </c>
      <c r="R69" s="162">
        <f>C68</f>
        <v>1015.4000000000001</v>
      </c>
      <c r="S69" s="165">
        <f t="shared" ref="S69:S72" si="11">R69/Q69-1</f>
        <v>0.17140813548372202</v>
      </c>
    </row>
    <row r="70" spans="1:19" x14ac:dyDescent="0.25">
      <c r="A70" s="13" t="s">
        <v>12</v>
      </c>
      <c r="B70" s="14">
        <v>1.97</v>
      </c>
      <c r="C70" s="14">
        <v>1.97</v>
      </c>
      <c r="D70" s="14">
        <v>2</v>
      </c>
      <c r="E70" s="14">
        <v>2</v>
      </c>
      <c r="F70" s="26">
        <f t="shared" si="6"/>
        <v>0.98499999999999999</v>
      </c>
      <c r="G70" s="26">
        <f t="shared" si="7"/>
        <v>0.98499999999999999</v>
      </c>
      <c r="H70" s="14">
        <f t="shared" si="8"/>
        <v>0</v>
      </c>
      <c r="I70" s="26">
        <f t="shared" si="9"/>
        <v>0</v>
      </c>
      <c r="K70" s="292" t="s">
        <v>293</v>
      </c>
      <c r="L70" s="164">
        <f>C95</f>
        <v>486.86999999999995</v>
      </c>
      <c r="M70" s="164">
        <f>E95</f>
        <v>1781</v>
      </c>
      <c r="N70" s="124">
        <f t="shared" si="10"/>
        <v>0.27336889387984276</v>
      </c>
      <c r="P70" s="293" t="s">
        <v>293</v>
      </c>
      <c r="Q70" s="164">
        <f>B95</f>
        <v>394.40000000000009</v>
      </c>
      <c r="R70" s="164">
        <f>C95</f>
        <v>486.86999999999995</v>
      </c>
      <c r="S70" s="165">
        <f t="shared" si="11"/>
        <v>0.23445740365111511</v>
      </c>
    </row>
    <row r="71" spans="1:19" x14ac:dyDescent="0.25">
      <c r="A71" s="13" t="s">
        <v>13</v>
      </c>
      <c r="B71" s="14">
        <v>298.08999999999997</v>
      </c>
      <c r="C71" s="14">
        <v>313.05999999999995</v>
      </c>
      <c r="D71" s="14">
        <v>296</v>
      </c>
      <c r="E71" s="14">
        <v>320</v>
      </c>
      <c r="F71" s="26">
        <f t="shared" si="6"/>
        <v>1.0070608108108108</v>
      </c>
      <c r="G71" s="26">
        <f t="shared" si="7"/>
        <v>0.97831249999999981</v>
      </c>
      <c r="H71" s="14">
        <f t="shared" si="8"/>
        <v>14.96999999999997</v>
      </c>
      <c r="I71" s="26">
        <f t="shared" si="9"/>
        <v>5.0219732295615271E-2</v>
      </c>
      <c r="K71" s="292" t="s">
        <v>54</v>
      </c>
      <c r="L71" s="162">
        <f>C107</f>
        <v>424.34000000000003</v>
      </c>
      <c r="M71" s="162">
        <f>E107</f>
        <v>1196</v>
      </c>
      <c r="N71" s="124">
        <f t="shared" si="10"/>
        <v>0.35479933110367895</v>
      </c>
      <c r="P71" s="293" t="s">
        <v>54</v>
      </c>
      <c r="Q71" s="162">
        <f>B107</f>
        <v>380.04000000000008</v>
      </c>
      <c r="R71" s="162">
        <f>C107</f>
        <v>424.34000000000003</v>
      </c>
      <c r="S71" s="165">
        <f t="shared" si="11"/>
        <v>0.1165666771918743</v>
      </c>
    </row>
    <row r="72" spans="1:19" x14ac:dyDescent="0.25">
      <c r="A72" s="13" t="s">
        <v>14</v>
      </c>
      <c r="B72" s="14">
        <v>289.99000000000012</v>
      </c>
      <c r="C72" s="14">
        <v>373.22000000000008</v>
      </c>
      <c r="D72" s="14">
        <v>469</v>
      </c>
      <c r="E72" s="14">
        <v>604</v>
      </c>
      <c r="F72" s="26">
        <f t="shared" si="6"/>
        <v>0.61831556503198315</v>
      </c>
      <c r="G72" s="26">
        <f t="shared" si="7"/>
        <v>0.61791390728476836</v>
      </c>
      <c r="H72" s="14">
        <f t="shared" si="8"/>
        <v>83.229999999999961</v>
      </c>
      <c r="I72" s="26">
        <f t="shared" si="9"/>
        <v>0.28700989689299616</v>
      </c>
      <c r="K72" s="292" t="s">
        <v>50</v>
      </c>
      <c r="L72" s="162">
        <f>C76</f>
        <v>396.16999999999996</v>
      </c>
      <c r="M72" s="162">
        <f>E76</f>
        <v>393</v>
      </c>
      <c r="N72" s="124">
        <f t="shared" si="10"/>
        <v>1.0080661577608141</v>
      </c>
      <c r="P72" s="293" t="s">
        <v>50</v>
      </c>
      <c r="Q72" s="162">
        <f>B76</f>
        <v>313.90999999999997</v>
      </c>
      <c r="R72" s="162">
        <f>C76</f>
        <v>396.16999999999996</v>
      </c>
      <c r="S72" s="165">
        <f t="shared" si="11"/>
        <v>0.26204963206014464</v>
      </c>
    </row>
    <row r="73" spans="1:19" x14ac:dyDescent="0.25">
      <c r="A73" s="13" t="s">
        <v>16</v>
      </c>
      <c r="B73" s="14">
        <v>126.21999999999998</v>
      </c>
      <c r="C73" s="14">
        <v>168.32000000000002</v>
      </c>
      <c r="D73" s="14">
        <v>138</v>
      </c>
      <c r="E73" s="14">
        <v>181</v>
      </c>
      <c r="F73" s="26">
        <f t="shared" si="6"/>
        <v>0.91463768115942012</v>
      </c>
      <c r="G73" s="26">
        <f t="shared" si="7"/>
        <v>0.92994475138121557</v>
      </c>
      <c r="H73" s="14">
        <f t="shared" si="8"/>
        <v>42.100000000000037</v>
      </c>
      <c r="I73" s="26">
        <f t="shared" si="9"/>
        <v>0.33354460465853308</v>
      </c>
    </row>
    <row r="74" spans="1:19" x14ac:dyDescent="0.25">
      <c r="A74" s="13" t="s">
        <v>17</v>
      </c>
      <c r="B74" s="14">
        <v>69.58</v>
      </c>
      <c r="C74" s="14">
        <v>69.58</v>
      </c>
      <c r="D74" s="14">
        <v>72</v>
      </c>
      <c r="E74" s="14">
        <v>70</v>
      </c>
      <c r="F74" s="26">
        <f t="shared" si="6"/>
        <v>0.96638888888888885</v>
      </c>
      <c r="G74" s="26">
        <f t="shared" si="7"/>
        <v>0.99399999999999999</v>
      </c>
      <c r="H74" s="14">
        <f t="shared" si="8"/>
        <v>0</v>
      </c>
      <c r="I74" s="26">
        <f t="shared" si="9"/>
        <v>0</v>
      </c>
    </row>
    <row r="75" spans="1:19" x14ac:dyDescent="0.25">
      <c r="A75" s="13" t="s">
        <v>18</v>
      </c>
      <c r="B75" s="14">
        <v>78.86999999999999</v>
      </c>
      <c r="C75" s="14">
        <v>85.06</v>
      </c>
      <c r="D75" s="14">
        <v>79</v>
      </c>
      <c r="E75" s="14">
        <v>87</v>
      </c>
      <c r="F75" s="26">
        <f t="shared" si="6"/>
        <v>0.99835443037974669</v>
      </c>
      <c r="G75" s="26">
        <f t="shared" si="7"/>
        <v>0.97770114942528741</v>
      </c>
      <c r="H75" s="14">
        <f t="shared" si="8"/>
        <v>6.1900000000000119</v>
      </c>
      <c r="I75" s="26">
        <f t="shared" si="9"/>
        <v>7.8483580575630985E-2</v>
      </c>
    </row>
    <row r="76" spans="1:19" x14ac:dyDescent="0.25">
      <c r="A76" s="60" t="s">
        <v>50</v>
      </c>
      <c r="B76" s="61">
        <f>SUM(B77:B79)</f>
        <v>313.90999999999997</v>
      </c>
      <c r="C76" s="61">
        <f>SUM(C77:C79)</f>
        <v>396.16999999999996</v>
      </c>
      <c r="D76" s="61">
        <f>SUM(D77:D79)</f>
        <v>0</v>
      </c>
      <c r="E76" s="61">
        <f>SUM(E77:E79)</f>
        <v>393</v>
      </c>
      <c r="F76" s="62" t="str">
        <f t="shared" si="6"/>
        <v/>
      </c>
      <c r="G76" s="62">
        <f t="shared" si="7"/>
        <v>1.0080661577608141</v>
      </c>
      <c r="H76" s="61">
        <f t="shared" si="8"/>
        <v>82.259999999999991</v>
      </c>
      <c r="I76" s="62">
        <f t="shared" si="9"/>
        <v>0.26204963206014464</v>
      </c>
    </row>
    <row r="77" spans="1:19" x14ac:dyDescent="0.25">
      <c r="A77" s="13" t="s">
        <v>19</v>
      </c>
      <c r="B77" s="14">
        <v>73.77</v>
      </c>
      <c r="C77" s="14">
        <v>100.98999999999998</v>
      </c>
      <c r="D77" s="14"/>
      <c r="E77" s="14">
        <v>101</v>
      </c>
      <c r="F77" s="26" t="str">
        <f t="shared" si="6"/>
        <v/>
      </c>
      <c r="G77" s="26">
        <f t="shared" si="7"/>
        <v>0.99990099009900968</v>
      </c>
      <c r="H77" s="14">
        <f t="shared" si="8"/>
        <v>27.219999999999985</v>
      </c>
      <c r="I77" s="26">
        <f t="shared" si="9"/>
        <v>0.36898468212010282</v>
      </c>
    </row>
    <row r="78" spans="1:19" x14ac:dyDescent="0.25">
      <c r="A78" s="13" t="s">
        <v>20</v>
      </c>
      <c r="B78" s="14">
        <v>32.6</v>
      </c>
      <c r="C78" s="14">
        <v>35.910000000000004</v>
      </c>
      <c r="D78" s="14"/>
      <c r="E78" s="14">
        <v>44</v>
      </c>
      <c r="F78" s="26" t="str">
        <f t="shared" si="6"/>
        <v/>
      </c>
      <c r="G78" s="26">
        <f t="shared" si="7"/>
        <v>0.81613636363636377</v>
      </c>
      <c r="H78" s="14">
        <f t="shared" si="8"/>
        <v>3.3100000000000023</v>
      </c>
      <c r="I78" s="26">
        <f t="shared" si="9"/>
        <v>0.10153374233128831</v>
      </c>
    </row>
    <row r="79" spans="1:19" x14ac:dyDescent="0.25">
      <c r="A79" s="13" t="s">
        <v>21</v>
      </c>
      <c r="B79" s="14">
        <v>207.54</v>
      </c>
      <c r="C79" s="14">
        <v>259.27</v>
      </c>
      <c r="D79" s="14"/>
      <c r="E79" s="14">
        <v>248</v>
      </c>
      <c r="F79" s="26" t="str">
        <f t="shared" si="6"/>
        <v/>
      </c>
      <c r="G79" s="26">
        <f t="shared" si="7"/>
        <v>1.0454435483870967</v>
      </c>
      <c r="H79" s="14">
        <f t="shared" si="8"/>
        <v>51.72999999999999</v>
      </c>
      <c r="I79" s="26">
        <f t="shared" si="9"/>
        <v>0.24925315601811704</v>
      </c>
    </row>
    <row r="80" spans="1:19" x14ac:dyDescent="0.25">
      <c r="A80" s="60" t="s">
        <v>60</v>
      </c>
      <c r="B80" s="61">
        <f>SUM(B81:B83)</f>
        <v>39.38000000000001</v>
      </c>
      <c r="C80" s="61">
        <f>SUM(C81:C83)</f>
        <v>32.97</v>
      </c>
      <c r="D80" s="61">
        <f>SUM(D81:D83)</f>
        <v>45</v>
      </c>
      <c r="E80" s="61">
        <f>SUM(E81:E83)</f>
        <v>47</v>
      </c>
      <c r="F80" s="62">
        <f t="shared" si="6"/>
        <v>0.87511111111111128</v>
      </c>
      <c r="G80" s="62">
        <f t="shared" si="7"/>
        <v>0.70148936170212761</v>
      </c>
      <c r="H80" s="61">
        <f t="shared" si="8"/>
        <v>-6.4100000000000108</v>
      </c>
      <c r="I80" s="62">
        <f t="shared" si="9"/>
        <v>-0.16277298120873562</v>
      </c>
    </row>
    <row r="81" spans="1:9" x14ac:dyDescent="0.25">
      <c r="A81" s="13" t="s">
        <v>22</v>
      </c>
      <c r="B81" s="14">
        <v>20.399999999999999</v>
      </c>
      <c r="C81" s="14">
        <v>13.479999999999999</v>
      </c>
      <c r="D81" s="14">
        <v>16</v>
      </c>
      <c r="E81" s="14">
        <v>19</v>
      </c>
      <c r="F81" s="26">
        <f t="shared" si="6"/>
        <v>1.2749999999999999</v>
      </c>
      <c r="G81" s="26">
        <f t="shared" si="7"/>
        <v>0.70947368421052626</v>
      </c>
      <c r="H81" s="14">
        <f t="shared" si="8"/>
        <v>-6.92</v>
      </c>
      <c r="I81" s="26">
        <f t="shared" si="9"/>
        <v>-0.33921568627450982</v>
      </c>
    </row>
    <row r="82" spans="1:9" x14ac:dyDescent="0.25">
      <c r="A82" s="13" t="s">
        <v>23</v>
      </c>
      <c r="B82" s="14">
        <v>0.05</v>
      </c>
      <c r="C82" s="14">
        <v>0.05</v>
      </c>
      <c r="D82" s="14">
        <v>9</v>
      </c>
      <c r="E82" s="14">
        <v>9</v>
      </c>
      <c r="F82" s="26">
        <f t="shared" si="6"/>
        <v>5.5555555555555558E-3</v>
      </c>
      <c r="G82" s="26">
        <f t="shared" si="7"/>
        <v>5.5555555555555558E-3</v>
      </c>
      <c r="H82" s="14">
        <f t="shared" si="8"/>
        <v>0</v>
      </c>
      <c r="I82" s="26">
        <f t="shared" si="9"/>
        <v>0</v>
      </c>
    </row>
    <row r="83" spans="1:9" x14ac:dyDescent="0.25">
      <c r="A83" s="13" t="s">
        <v>24</v>
      </c>
      <c r="B83" s="14">
        <v>18.930000000000007</v>
      </c>
      <c r="C83" s="14">
        <v>19.440000000000001</v>
      </c>
      <c r="D83" s="14">
        <v>20</v>
      </c>
      <c r="E83" s="14">
        <v>19</v>
      </c>
      <c r="F83" s="26">
        <f t="shared" si="6"/>
        <v>0.94650000000000034</v>
      </c>
      <c r="G83" s="26">
        <f t="shared" si="7"/>
        <v>1.0231578947368423</v>
      </c>
      <c r="H83" s="14">
        <f t="shared" si="8"/>
        <v>0.50999999999999446</v>
      </c>
      <c r="I83" s="26">
        <f t="shared" si="9"/>
        <v>2.6941362916006018E-2</v>
      </c>
    </row>
    <row r="84" spans="1:9" x14ac:dyDescent="0.25">
      <c r="A84" s="60" t="s">
        <v>51</v>
      </c>
      <c r="B84" s="61">
        <f>SUM(B86:B88)</f>
        <v>261.25</v>
      </c>
      <c r="C84" s="61">
        <f>SUM(C86:C88)</f>
        <v>323.34999999999997</v>
      </c>
      <c r="D84" s="61">
        <f>SUM(D86:D88)</f>
        <v>18</v>
      </c>
      <c r="E84" s="61">
        <f>SUM(E86:E88)</f>
        <v>319</v>
      </c>
      <c r="F84" s="62">
        <f t="shared" si="6"/>
        <v>14.513888888888889</v>
      </c>
      <c r="G84" s="62">
        <f t="shared" si="7"/>
        <v>1.0136363636363634</v>
      </c>
      <c r="H84" s="61">
        <f t="shared" si="8"/>
        <v>62.099999999999966</v>
      </c>
      <c r="I84" s="62">
        <f t="shared" si="9"/>
        <v>0.23770334928229642</v>
      </c>
    </row>
    <row r="85" spans="1:9" x14ac:dyDescent="0.25">
      <c r="A85" s="72" t="s">
        <v>25</v>
      </c>
      <c r="B85" s="71"/>
      <c r="C85" s="71"/>
      <c r="D85" s="159"/>
      <c r="E85" s="159">
        <v>2</v>
      </c>
      <c r="F85" s="155"/>
      <c r="G85" s="155">
        <f t="shared" si="7"/>
        <v>0</v>
      </c>
      <c r="H85" s="71"/>
      <c r="I85" s="155"/>
    </row>
    <row r="86" spans="1:9" x14ac:dyDescent="0.25">
      <c r="A86" s="13" t="s">
        <v>26</v>
      </c>
      <c r="B86" s="14">
        <v>1.07</v>
      </c>
      <c r="C86" s="14">
        <v>1.07</v>
      </c>
      <c r="D86" s="67"/>
      <c r="E86" s="67">
        <v>1</v>
      </c>
      <c r="F86" s="26" t="str">
        <f t="shared" si="6"/>
        <v/>
      </c>
      <c r="G86" s="26">
        <f t="shared" si="7"/>
        <v>1.07</v>
      </c>
      <c r="H86" s="14">
        <f t="shared" si="8"/>
        <v>0</v>
      </c>
      <c r="I86" s="26">
        <f t="shared" si="9"/>
        <v>0</v>
      </c>
    </row>
    <row r="87" spans="1:9" x14ac:dyDescent="0.25">
      <c r="A87" s="13" t="s">
        <v>27</v>
      </c>
      <c r="B87" s="14">
        <v>240</v>
      </c>
      <c r="C87" s="14">
        <v>297.82</v>
      </c>
      <c r="D87" s="67"/>
      <c r="E87" s="67">
        <v>295</v>
      </c>
      <c r="F87" s="26" t="str">
        <f t="shared" si="6"/>
        <v/>
      </c>
      <c r="G87" s="26">
        <f t="shared" si="7"/>
        <v>1.0095593220338983</v>
      </c>
      <c r="H87" s="14">
        <f t="shared" si="8"/>
        <v>57.819999999999993</v>
      </c>
      <c r="I87" s="26">
        <f t="shared" si="9"/>
        <v>0.24091666666666667</v>
      </c>
    </row>
    <row r="88" spans="1:9" x14ac:dyDescent="0.25">
      <c r="A88" s="13" t="s">
        <v>28</v>
      </c>
      <c r="B88" s="14">
        <v>20.18</v>
      </c>
      <c r="C88" s="14">
        <v>24.459999999999997</v>
      </c>
      <c r="D88" s="67">
        <v>18</v>
      </c>
      <c r="E88" s="67">
        <v>23</v>
      </c>
      <c r="F88" s="26">
        <f t="shared" si="6"/>
        <v>1.1211111111111112</v>
      </c>
      <c r="G88" s="26">
        <f t="shared" si="7"/>
        <v>1.0634782608695652</v>
      </c>
      <c r="H88" s="14">
        <f t="shared" si="8"/>
        <v>4.2799999999999976</v>
      </c>
      <c r="I88" s="26">
        <f t="shared" si="9"/>
        <v>0.21209117938553002</v>
      </c>
    </row>
    <row r="89" spans="1:9" x14ac:dyDescent="0.25">
      <c r="A89" s="60" t="s">
        <v>52</v>
      </c>
      <c r="B89" s="61">
        <f>SUM(B90:B94)</f>
        <v>6133.9100000000008</v>
      </c>
      <c r="C89" s="61">
        <f>SUM(C90:C94)</f>
        <v>8552.4400000000023</v>
      </c>
      <c r="D89" s="61">
        <f>SUM(D90:D94)</f>
        <v>7182</v>
      </c>
      <c r="E89" s="61">
        <f>SUM(E90:E94)</f>
        <v>9648</v>
      </c>
      <c r="F89" s="62">
        <f t="shared" si="6"/>
        <v>0.85406711222500709</v>
      </c>
      <c r="G89" s="62">
        <f t="shared" si="7"/>
        <v>0.88644693200663371</v>
      </c>
      <c r="H89" s="61">
        <f t="shared" si="8"/>
        <v>2418.5300000000016</v>
      </c>
      <c r="I89" s="62">
        <f t="shared" si="9"/>
        <v>0.39428847179042426</v>
      </c>
    </row>
    <row r="90" spans="1:9" x14ac:dyDescent="0.25">
      <c r="A90" s="13" t="s">
        <v>29</v>
      </c>
      <c r="B90" s="14">
        <v>1379.5200000000002</v>
      </c>
      <c r="C90" s="14">
        <v>1997.6600000000005</v>
      </c>
      <c r="D90" s="14">
        <v>2425</v>
      </c>
      <c r="E90" s="14">
        <v>3146</v>
      </c>
      <c r="F90" s="26">
        <f t="shared" si="6"/>
        <v>0.56887422680412381</v>
      </c>
      <c r="G90" s="26">
        <f t="shared" si="7"/>
        <v>0.63498410680228878</v>
      </c>
      <c r="H90" s="14">
        <f t="shared" si="8"/>
        <v>618.14000000000033</v>
      </c>
      <c r="I90" s="26">
        <f t="shared" si="9"/>
        <v>0.4480833913245188</v>
      </c>
    </row>
    <row r="91" spans="1:9" x14ac:dyDescent="0.25">
      <c r="A91" s="13" t="s">
        <v>30</v>
      </c>
      <c r="B91" s="14">
        <v>2642.6300000000006</v>
      </c>
      <c r="C91" s="14">
        <v>3326.09</v>
      </c>
      <c r="D91" s="14">
        <v>2646</v>
      </c>
      <c r="E91" s="14">
        <v>3324</v>
      </c>
      <c r="F91" s="26">
        <f t="shared" si="6"/>
        <v>0.99872637944066533</v>
      </c>
      <c r="G91" s="26">
        <f t="shared" si="7"/>
        <v>1.0006287605294826</v>
      </c>
      <c r="H91" s="14">
        <f t="shared" si="8"/>
        <v>683.45999999999958</v>
      </c>
      <c r="I91" s="26">
        <f t="shared" si="9"/>
        <v>0.25862871457600933</v>
      </c>
    </row>
    <row r="92" spans="1:9" x14ac:dyDescent="0.25">
      <c r="A92" s="13" t="s">
        <v>31</v>
      </c>
      <c r="B92" s="14">
        <v>414.84</v>
      </c>
      <c r="C92" s="14">
        <v>668.1099999999999</v>
      </c>
      <c r="D92" s="14">
        <v>415</v>
      </c>
      <c r="E92" s="14">
        <v>668</v>
      </c>
      <c r="F92" s="26">
        <f t="shared" si="6"/>
        <v>0.99961445783132519</v>
      </c>
      <c r="G92" s="26">
        <f t="shared" si="7"/>
        <v>1.0001646706586824</v>
      </c>
      <c r="H92" s="14">
        <f t="shared" si="8"/>
        <v>253.26999999999992</v>
      </c>
      <c r="I92" s="26">
        <f t="shared" si="9"/>
        <v>0.61052453958152531</v>
      </c>
    </row>
    <row r="93" spans="1:9" x14ac:dyDescent="0.25">
      <c r="A93" s="13" t="s">
        <v>32</v>
      </c>
      <c r="B93" s="14">
        <v>110.78</v>
      </c>
      <c r="C93" s="14">
        <v>130.97</v>
      </c>
      <c r="D93" s="14">
        <v>111</v>
      </c>
      <c r="E93" s="14">
        <v>181</v>
      </c>
      <c r="F93" s="26">
        <f t="shared" si="6"/>
        <v>0.99801801801801804</v>
      </c>
      <c r="G93" s="26">
        <f t="shared" si="7"/>
        <v>0.72359116022099446</v>
      </c>
      <c r="H93" s="14">
        <f t="shared" si="8"/>
        <v>20.189999999999998</v>
      </c>
      <c r="I93" s="26">
        <f t="shared" si="9"/>
        <v>0.18225311428055613</v>
      </c>
    </row>
    <row r="94" spans="1:9" x14ac:dyDescent="0.25">
      <c r="A94" s="13" t="s">
        <v>33</v>
      </c>
      <c r="B94" s="14">
        <v>1586.14</v>
      </c>
      <c r="C94" s="14">
        <v>2429.610000000001</v>
      </c>
      <c r="D94" s="14">
        <v>1585</v>
      </c>
      <c r="E94" s="14">
        <v>2329</v>
      </c>
      <c r="F94" s="26">
        <f t="shared" si="6"/>
        <v>1.0007192429022083</v>
      </c>
      <c r="G94" s="26">
        <f t="shared" si="7"/>
        <v>1.0431987977672825</v>
      </c>
      <c r="H94" s="14">
        <f t="shared" si="8"/>
        <v>843.47000000000094</v>
      </c>
      <c r="I94" s="26">
        <f t="shared" si="9"/>
        <v>0.53177525313024132</v>
      </c>
    </row>
    <row r="95" spans="1:9" x14ac:dyDescent="0.25">
      <c r="A95" s="60" t="s">
        <v>53</v>
      </c>
      <c r="B95" s="61">
        <f>SUM(B96:B104)</f>
        <v>394.40000000000009</v>
      </c>
      <c r="C95" s="61">
        <f>SUM(C96:C104)</f>
        <v>486.86999999999995</v>
      </c>
      <c r="D95" s="61">
        <f>SUM(D96:D104)</f>
        <v>1291</v>
      </c>
      <c r="E95" s="61">
        <f>SUM(E96:E104)</f>
        <v>1781</v>
      </c>
      <c r="F95" s="62">
        <f t="shared" si="6"/>
        <v>0.30549961270333081</v>
      </c>
      <c r="G95" s="62">
        <f t="shared" si="7"/>
        <v>0.27336889387984276</v>
      </c>
      <c r="H95" s="61">
        <f t="shared" si="8"/>
        <v>92.469999999999857</v>
      </c>
      <c r="I95" s="62">
        <f t="shared" si="9"/>
        <v>0.23445740365111511</v>
      </c>
    </row>
    <row r="96" spans="1:9" x14ac:dyDescent="0.25">
      <c r="A96" s="13" t="s">
        <v>34</v>
      </c>
      <c r="B96" s="14">
        <v>6.7</v>
      </c>
      <c r="C96" s="14">
        <v>11.18</v>
      </c>
      <c r="D96" s="14">
        <v>36</v>
      </c>
      <c r="E96" s="14">
        <v>21</v>
      </c>
      <c r="F96" s="26">
        <f t="shared" si="6"/>
        <v>0.18611111111111112</v>
      </c>
      <c r="G96" s="26">
        <f t="shared" si="7"/>
        <v>0.5323809523809524</v>
      </c>
      <c r="H96" s="14">
        <f t="shared" si="8"/>
        <v>4.4799999999999995</v>
      </c>
      <c r="I96" s="26">
        <f t="shared" si="9"/>
        <v>0.66865671641791047</v>
      </c>
    </row>
    <row r="97" spans="1:9" x14ac:dyDescent="0.25">
      <c r="A97" s="13" t="s">
        <v>35</v>
      </c>
      <c r="B97" s="14">
        <v>4.0999999999999996</v>
      </c>
      <c r="C97" s="14">
        <v>4.1500000000000004</v>
      </c>
      <c r="D97" s="14">
        <v>4</v>
      </c>
      <c r="E97" s="14">
        <v>4</v>
      </c>
      <c r="F97" s="26">
        <f t="shared" si="6"/>
        <v>1.0249999999999999</v>
      </c>
      <c r="G97" s="26">
        <f t="shared" si="7"/>
        <v>1.0375000000000001</v>
      </c>
      <c r="H97" s="14">
        <f t="shared" si="8"/>
        <v>5.0000000000000711E-2</v>
      </c>
      <c r="I97" s="26">
        <f t="shared" si="9"/>
        <v>1.2195121951219745E-2</v>
      </c>
    </row>
    <row r="98" spans="1:9" x14ac:dyDescent="0.25">
      <c r="A98" s="13" t="s">
        <v>36</v>
      </c>
      <c r="B98" s="14">
        <v>10.809999999999999</v>
      </c>
      <c r="C98" s="14">
        <v>17.700000000000003</v>
      </c>
      <c r="D98" s="14">
        <v>12</v>
      </c>
      <c r="E98" s="14">
        <v>12</v>
      </c>
      <c r="F98" s="26">
        <f t="shared" si="6"/>
        <v>0.90083333333333326</v>
      </c>
      <c r="G98" s="26">
        <f t="shared" si="7"/>
        <v>1.4750000000000003</v>
      </c>
      <c r="H98" s="14">
        <f t="shared" si="8"/>
        <v>6.8900000000000041</v>
      </c>
      <c r="I98" s="26">
        <f t="shared" si="9"/>
        <v>0.63737280296022258</v>
      </c>
    </row>
    <row r="99" spans="1:9" x14ac:dyDescent="0.25">
      <c r="A99" s="13" t="s">
        <v>37</v>
      </c>
      <c r="B99" s="14">
        <v>3.77</v>
      </c>
      <c r="C99" s="14">
        <v>5.53</v>
      </c>
      <c r="D99" s="14">
        <v>4</v>
      </c>
      <c r="E99" s="14">
        <v>6</v>
      </c>
      <c r="F99" s="26">
        <f t="shared" si="6"/>
        <v>0.9425</v>
      </c>
      <c r="G99" s="26">
        <f t="shared" si="7"/>
        <v>0.92166666666666675</v>
      </c>
      <c r="H99" s="14">
        <f t="shared" si="8"/>
        <v>1.7600000000000002</v>
      </c>
      <c r="I99" s="26">
        <f t="shared" si="9"/>
        <v>0.46684350132625996</v>
      </c>
    </row>
    <row r="100" spans="1:9" x14ac:dyDescent="0.25">
      <c r="A100" s="13" t="s">
        <v>38</v>
      </c>
      <c r="B100" s="14">
        <v>28.43</v>
      </c>
      <c r="C100" s="14">
        <v>58.209999999999994</v>
      </c>
      <c r="D100" s="14">
        <v>28</v>
      </c>
      <c r="E100" s="14">
        <v>57</v>
      </c>
      <c r="F100" s="26">
        <f t="shared" si="6"/>
        <v>1.0153571428571428</v>
      </c>
      <c r="G100" s="26">
        <f t="shared" si="7"/>
        <v>1.0212280701754386</v>
      </c>
      <c r="H100" s="14">
        <f t="shared" si="8"/>
        <v>29.779999999999994</v>
      </c>
      <c r="I100" s="26">
        <f t="shared" si="9"/>
        <v>1.0474850510024618</v>
      </c>
    </row>
    <row r="101" spans="1:9" x14ac:dyDescent="0.25">
      <c r="A101" s="13" t="s">
        <v>39</v>
      </c>
      <c r="B101" s="14">
        <v>9.7099999999999991</v>
      </c>
      <c r="C101" s="14">
        <v>16.04</v>
      </c>
      <c r="D101" s="14">
        <v>132</v>
      </c>
      <c r="E101" s="14">
        <v>176</v>
      </c>
      <c r="F101" s="26">
        <f t="shared" si="6"/>
        <v>7.3560606060606049E-2</v>
      </c>
      <c r="G101" s="26">
        <f t="shared" si="7"/>
        <v>9.1136363636363626E-2</v>
      </c>
      <c r="H101" s="14">
        <f t="shared" si="8"/>
        <v>6.33</v>
      </c>
      <c r="I101" s="26">
        <f t="shared" si="9"/>
        <v>0.65190525231719887</v>
      </c>
    </row>
    <row r="102" spans="1:9" x14ac:dyDescent="0.25">
      <c r="A102" s="13" t="s">
        <v>40</v>
      </c>
      <c r="B102" s="14">
        <v>2.8600000000000003</v>
      </c>
      <c r="C102" s="14">
        <v>2.8600000000000003</v>
      </c>
      <c r="D102" s="14">
        <v>3</v>
      </c>
      <c r="E102" s="14">
        <v>7</v>
      </c>
      <c r="F102" s="26">
        <f t="shared" si="6"/>
        <v>0.95333333333333348</v>
      </c>
      <c r="G102" s="26">
        <f t="shared" si="7"/>
        <v>0.40857142857142864</v>
      </c>
      <c r="H102" s="14">
        <f t="shared" si="8"/>
        <v>0</v>
      </c>
      <c r="I102" s="26">
        <f t="shared" si="9"/>
        <v>0</v>
      </c>
    </row>
    <row r="103" spans="1:9" x14ac:dyDescent="0.25">
      <c r="A103" s="13" t="s">
        <v>41</v>
      </c>
      <c r="B103" s="14">
        <v>209.32000000000002</v>
      </c>
      <c r="C103" s="14">
        <v>215.60999999999999</v>
      </c>
      <c r="D103" s="14">
        <v>605</v>
      </c>
      <c r="E103" s="14">
        <v>840</v>
      </c>
      <c r="F103" s="26">
        <f t="shared" si="6"/>
        <v>0.34598347107438021</v>
      </c>
      <c r="G103" s="26">
        <f t="shared" si="7"/>
        <v>0.25667857142857142</v>
      </c>
      <c r="H103" s="14">
        <f t="shared" si="8"/>
        <v>6.2899999999999636</v>
      </c>
      <c r="I103" s="26">
        <f t="shared" si="9"/>
        <v>3.00496846932925E-2</v>
      </c>
    </row>
    <row r="104" spans="1:9" x14ac:dyDescent="0.25">
      <c r="A104" s="13" t="s">
        <v>42</v>
      </c>
      <c r="B104" s="14">
        <v>118.70000000000003</v>
      </c>
      <c r="C104" s="14">
        <v>155.58999999999997</v>
      </c>
      <c r="D104" s="14">
        <v>467</v>
      </c>
      <c r="E104" s="14">
        <v>658</v>
      </c>
      <c r="F104" s="26">
        <f t="shared" si="6"/>
        <v>0.25417558886509645</v>
      </c>
      <c r="G104" s="26">
        <f t="shared" si="7"/>
        <v>0.23645896656534951</v>
      </c>
      <c r="H104" s="14">
        <f t="shared" si="8"/>
        <v>36.889999999999944</v>
      </c>
      <c r="I104" s="26">
        <f t="shared" si="9"/>
        <v>0.31078348778432963</v>
      </c>
    </row>
    <row r="105" spans="1:9" x14ac:dyDescent="0.25">
      <c r="A105" s="60" t="s">
        <v>75</v>
      </c>
      <c r="B105" s="61"/>
      <c r="C105" s="61"/>
      <c r="D105" s="61"/>
      <c r="E105" s="61">
        <v>1</v>
      </c>
      <c r="F105" s="62"/>
      <c r="G105" s="62">
        <f t="shared" si="7"/>
        <v>0</v>
      </c>
      <c r="H105" s="61"/>
      <c r="I105" s="62"/>
    </row>
    <row r="106" spans="1:9" x14ac:dyDescent="0.25">
      <c r="A106" s="13" t="s">
        <v>230</v>
      </c>
      <c r="B106" s="14"/>
      <c r="C106" s="14"/>
      <c r="D106" s="14"/>
      <c r="E106" s="14">
        <v>1</v>
      </c>
      <c r="F106" s="26"/>
      <c r="G106" s="26">
        <f t="shared" si="7"/>
        <v>0</v>
      </c>
      <c r="H106" s="14"/>
      <c r="I106" s="26"/>
    </row>
    <row r="107" spans="1:9" x14ac:dyDescent="0.25">
      <c r="A107" s="60" t="s">
        <v>54</v>
      </c>
      <c r="B107" s="61">
        <f>SUM(B108:B109)</f>
        <v>380.04000000000008</v>
      </c>
      <c r="C107" s="61">
        <f>SUM(C108:C109)</f>
        <v>424.34000000000003</v>
      </c>
      <c r="D107" s="61">
        <f>SUM(D108:D109)</f>
        <v>924</v>
      </c>
      <c r="E107" s="61">
        <f>SUM(E108:E109)</f>
        <v>1196</v>
      </c>
      <c r="F107" s="62">
        <f t="shared" si="6"/>
        <v>0.41129870129870139</v>
      </c>
      <c r="G107" s="62">
        <f t="shared" si="7"/>
        <v>0.35479933110367895</v>
      </c>
      <c r="H107" s="61">
        <f t="shared" si="8"/>
        <v>44.299999999999955</v>
      </c>
      <c r="I107" s="62">
        <f t="shared" si="9"/>
        <v>0.1165666771918743</v>
      </c>
    </row>
    <row r="108" spans="1:9" x14ac:dyDescent="0.25">
      <c r="A108" s="13" t="s">
        <v>43</v>
      </c>
      <c r="B108" s="14">
        <v>115.22999999999999</v>
      </c>
      <c r="C108" s="14">
        <v>138.82999999999998</v>
      </c>
      <c r="D108" s="14">
        <v>581</v>
      </c>
      <c r="E108" s="14">
        <v>848</v>
      </c>
      <c r="F108" s="26">
        <f t="shared" si="6"/>
        <v>0.19833046471600688</v>
      </c>
      <c r="G108" s="26">
        <f t="shared" si="7"/>
        <v>0.16371462264150941</v>
      </c>
      <c r="H108" s="14">
        <f t="shared" si="8"/>
        <v>23.599999999999994</v>
      </c>
      <c r="I108" s="26">
        <f t="shared" si="9"/>
        <v>0.20480777575284215</v>
      </c>
    </row>
    <row r="109" spans="1:9" x14ac:dyDescent="0.25">
      <c r="A109" s="13" t="s">
        <v>44</v>
      </c>
      <c r="B109" s="14">
        <v>264.81000000000006</v>
      </c>
      <c r="C109" s="14">
        <v>285.51000000000005</v>
      </c>
      <c r="D109" s="14">
        <v>343</v>
      </c>
      <c r="E109" s="14">
        <v>348</v>
      </c>
      <c r="F109" s="26">
        <f t="shared" si="6"/>
        <v>0.77204081632653077</v>
      </c>
      <c r="G109" s="26">
        <f t="shared" si="7"/>
        <v>0.82043103448275878</v>
      </c>
      <c r="H109" s="14">
        <f t="shared" si="8"/>
        <v>20.699999999999989</v>
      </c>
      <c r="I109" s="26">
        <f t="shared" si="9"/>
        <v>7.816925342698533E-2</v>
      </c>
    </row>
    <row r="110" spans="1:9" x14ac:dyDescent="0.25">
      <c r="A110" s="60" t="s">
        <v>55</v>
      </c>
      <c r="B110" s="61">
        <f>B111</f>
        <v>10.76</v>
      </c>
      <c r="C110" s="61">
        <f>C111</f>
        <v>17.689999999999998</v>
      </c>
      <c r="D110" s="61">
        <f>D111</f>
        <v>0</v>
      </c>
      <c r="E110" s="61">
        <f>E111</f>
        <v>30</v>
      </c>
      <c r="F110" s="62" t="str">
        <f t="shared" si="6"/>
        <v/>
      </c>
      <c r="G110" s="62">
        <f t="shared" si="7"/>
        <v>0.58966666666666656</v>
      </c>
      <c r="H110" s="61">
        <f t="shared" si="8"/>
        <v>6.9299999999999979</v>
      </c>
      <c r="I110" s="62">
        <f t="shared" si="9"/>
        <v>0.64405204460966514</v>
      </c>
    </row>
    <row r="111" spans="1:9" x14ac:dyDescent="0.25">
      <c r="A111" s="13" t="s">
        <v>45</v>
      </c>
      <c r="B111" s="14">
        <v>10.76</v>
      </c>
      <c r="C111" s="14">
        <v>17.689999999999998</v>
      </c>
      <c r="D111" s="14"/>
      <c r="E111" s="14">
        <v>30</v>
      </c>
      <c r="F111" s="26" t="str">
        <f t="shared" si="6"/>
        <v/>
      </c>
      <c r="G111" s="26">
        <f t="shared" si="7"/>
        <v>0.58966666666666656</v>
      </c>
      <c r="H111" s="14">
        <f t="shared" si="8"/>
        <v>6.9299999999999979</v>
      </c>
      <c r="I111" s="26">
        <f t="shared" si="9"/>
        <v>0.64405204460966514</v>
      </c>
    </row>
    <row r="112" spans="1:9" x14ac:dyDescent="0.25">
      <c r="A112" s="60" t="s">
        <v>80</v>
      </c>
      <c r="B112" s="61">
        <f>B113</f>
        <v>91.47</v>
      </c>
      <c r="C112" s="61">
        <f>C113</f>
        <v>122.32000000000002</v>
      </c>
      <c r="D112" s="61">
        <f>D113</f>
        <v>260</v>
      </c>
      <c r="E112" s="61">
        <f>E113</f>
        <v>309</v>
      </c>
      <c r="F112" s="62">
        <f t="shared" si="6"/>
        <v>0.35180769230769232</v>
      </c>
      <c r="G112" s="62">
        <f t="shared" si="7"/>
        <v>0.39585760517799362</v>
      </c>
      <c r="H112" s="61">
        <f t="shared" si="8"/>
        <v>30.850000000000023</v>
      </c>
      <c r="I112" s="62">
        <f t="shared" si="9"/>
        <v>0.33726904996173634</v>
      </c>
    </row>
    <row r="113" spans="1:9" x14ac:dyDescent="0.25">
      <c r="A113" s="13" t="s">
        <v>81</v>
      </c>
      <c r="B113" s="14">
        <v>91.47</v>
      </c>
      <c r="C113" s="14">
        <v>122.32000000000002</v>
      </c>
      <c r="D113" s="14">
        <v>260</v>
      </c>
      <c r="E113" s="14">
        <v>309</v>
      </c>
      <c r="F113" s="26">
        <f t="shared" si="6"/>
        <v>0.35180769230769232</v>
      </c>
      <c r="G113" s="26">
        <f t="shared" si="7"/>
        <v>0.39585760517799362</v>
      </c>
      <c r="H113" s="14">
        <f t="shared" si="8"/>
        <v>30.850000000000023</v>
      </c>
      <c r="I113" s="26">
        <f t="shared" si="9"/>
        <v>0.33726904996173634</v>
      </c>
    </row>
    <row r="114" spans="1:9" x14ac:dyDescent="0.25">
      <c r="A114" s="60" t="s">
        <v>56</v>
      </c>
      <c r="B114" s="61">
        <f>B115</f>
        <v>263.09000000000003</v>
      </c>
      <c r="C114" s="61">
        <f>C115</f>
        <v>304.25000000000006</v>
      </c>
      <c r="D114" s="61">
        <f>D115</f>
        <v>486</v>
      </c>
      <c r="E114" s="61">
        <f>E115</f>
        <v>576</v>
      </c>
      <c r="F114" s="62">
        <f t="shared" si="6"/>
        <v>0.54133744855967081</v>
      </c>
      <c r="G114" s="62">
        <f t="shared" si="7"/>
        <v>0.52821180555555569</v>
      </c>
      <c r="H114" s="61">
        <f t="shared" si="8"/>
        <v>41.160000000000025</v>
      </c>
      <c r="I114" s="62">
        <f t="shared" si="9"/>
        <v>0.15644836367782888</v>
      </c>
    </row>
    <row r="115" spans="1:9" x14ac:dyDescent="0.25">
      <c r="A115" s="13" t="s">
        <v>46</v>
      </c>
      <c r="B115" s="14">
        <v>263.09000000000003</v>
      </c>
      <c r="C115" s="14">
        <v>304.25000000000006</v>
      </c>
      <c r="D115" s="14">
        <v>486</v>
      </c>
      <c r="E115" s="14">
        <v>576</v>
      </c>
      <c r="F115" s="26">
        <f t="shared" si="6"/>
        <v>0.54133744855967081</v>
      </c>
      <c r="G115" s="26">
        <f t="shared" si="7"/>
        <v>0.52821180555555569</v>
      </c>
      <c r="H115" s="14">
        <f t="shared" si="8"/>
        <v>41.160000000000025</v>
      </c>
      <c r="I115" s="26">
        <f t="shared" si="9"/>
        <v>0.15644836367782888</v>
      </c>
    </row>
    <row r="116" spans="1:9" x14ac:dyDescent="0.25">
      <c r="A116" s="60" t="s">
        <v>57</v>
      </c>
      <c r="B116" s="61">
        <f>B117</f>
        <v>21.76</v>
      </c>
      <c r="C116" s="61">
        <f>C117</f>
        <v>53.419999999999995</v>
      </c>
      <c r="D116" s="61">
        <f>D117</f>
        <v>0</v>
      </c>
      <c r="E116" s="61">
        <f>E117</f>
        <v>62</v>
      </c>
      <c r="F116" s="62" t="str">
        <f t="shared" si="6"/>
        <v/>
      </c>
      <c r="G116" s="62">
        <f t="shared" si="7"/>
        <v>0.86161290322580641</v>
      </c>
      <c r="H116" s="61">
        <f t="shared" si="8"/>
        <v>31.659999999999993</v>
      </c>
      <c r="I116" s="62">
        <f t="shared" si="9"/>
        <v>1.4549632352941173</v>
      </c>
    </row>
    <row r="117" spans="1:9" x14ac:dyDescent="0.25">
      <c r="A117" s="13" t="s">
        <v>47</v>
      </c>
      <c r="B117" s="14">
        <v>21.76</v>
      </c>
      <c r="C117" s="14">
        <v>53.419999999999995</v>
      </c>
      <c r="D117" s="14"/>
      <c r="E117" s="14">
        <v>62</v>
      </c>
      <c r="F117" s="26" t="str">
        <f t="shared" si="6"/>
        <v/>
      </c>
      <c r="G117" s="26">
        <f t="shared" si="7"/>
        <v>0.86161290322580641</v>
      </c>
      <c r="H117" s="14">
        <f t="shared" si="8"/>
        <v>31.659999999999993</v>
      </c>
      <c r="I117" s="26">
        <f t="shared" si="9"/>
        <v>1.4549632352941173</v>
      </c>
    </row>
    <row r="118" spans="1:9" x14ac:dyDescent="0.25">
      <c r="A118" s="63" t="s">
        <v>59</v>
      </c>
      <c r="B118" s="64">
        <v>8776.7900000000045</v>
      </c>
      <c r="C118" s="64">
        <v>11729.22</v>
      </c>
      <c r="D118" s="64">
        <v>11946</v>
      </c>
      <c r="E118" s="64">
        <v>15699</v>
      </c>
      <c r="F118" s="65">
        <f t="shared" si="6"/>
        <v>0.73470534069981619</v>
      </c>
      <c r="G118" s="65">
        <f t="shared" si="7"/>
        <v>0.74713166443722523</v>
      </c>
      <c r="H118" s="64">
        <f t="shared" si="8"/>
        <v>2952.4299999999948</v>
      </c>
      <c r="I118" s="65">
        <f>IFERROR((C118/B118)-1,"")</f>
        <v>0.33639063940233194</v>
      </c>
    </row>
    <row r="119" spans="1:9" x14ac:dyDescent="0.25">
      <c r="C119" s="162"/>
      <c r="D119" s="162"/>
    </row>
  </sheetData>
  <mergeCells count="12">
    <mergeCell ref="H6:I6"/>
    <mergeCell ref="A65:B65"/>
    <mergeCell ref="A66:A67"/>
    <mergeCell ref="B66:C66"/>
    <mergeCell ref="D66:E66"/>
    <mergeCell ref="F66:G66"/>
    <mergeCell ref="H66:I66"/>
    <mergeCell ref="A5:B5"/>
    <mergeCell ref="A6:A7"/>
    <mergeCell ref="B6:C6"/>
    <mergeCell ref="D6:E6"/>
    <mergeCell ref="F6:G6"/>
  </mergeCells>
  <conditionalFormatting sqref="H8:I62">
    <cfRule type="cellIs" dxfId="5" priority="2" operator="lessThan">
      <formula>0</formula>
    </cfRule>
  </conditionalFormatting>
  <conditionalFormatting sqref="H68:I118">
    <cfRule type="cellIs" dxfId="4" priority="1" operator="lessThan">
      <formula>0</formula>
    </cfRule>
  </conditionalFormatting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0"/>
  <sheetViews>
    <sheetView topLeftCell="A4" workbookViewId="0">
      <selection activeCell="D1" sqref="D1"/>
    </sheetView>
  </sheetViews>
  <sheetFormatPr baseColWidth="10" defaultRowHeight="15" x14ac:dyDescent="0.25"/>
  <cols>
    <col min="1" max="1" width="19.140625" customWidth="1"/>
    <col min="6" max="6" width="16.140625" customWidth="1"/>
    <col min="7" max="7" width="14.42578125" customWidth="1"/>
    <col min="8" max="8" width="13" customWidth="1"/>
    <col min="9" max="9" width="12" customWidth="1"/>
    <col min="14" max="14" width="17.42578125" bestFit="1" customWidth="1"/>
  </cols>
  <sheetData>
    <row r="1" spans="1:19" x14ac:dyDescent="0.25">
      <c r="C1" s="2" t="s">
        <v>0</v>
      </c>
      <c r="D1" s="176" t="s">
        <v>1</v>
      </c>
      <c r="E1" s="2" t="s">
        <v>216</v>
      </c>
      <c r="F1" t="s">
        <v>228</v>
      </c>
    </row>
    <row r="2" spans="1:19" x14ac:dyDescent="0.25">
      <c r="F2" t="s">
        <v>218</v>
      </c>
    </row>
    <row r="3" spans="1:19" x14ac:dyDescent="0.25">
      <c r="F3" t="s">
        <v>222</v>
      </c>
    </row>
    <row r="4" spans="1:19" x14ac:dyDescent="0.25">
      <c r="F4" t="s">
        <v>229</v>
      </c>
    </row>
    <row r="5" spans="1:19" x14ac:dyDescent="0.25">
      <c r="F5" t="s">
        <v>320</v>
      </c>
    </row>
    <row r="6" spans="1:19" ht="18.75" x14ac:dyDescent="0.3">
      <c r="A6" s="305" t="s">
        <v>9</v>
      </c>
      <c r="B6" s="305"/>
    </row>
    <row r="7" spans="1:19" ht="30.75" customHeight="1" x14ac:dyDescent="0.25">
      <c r="A7" s="301" t="s">
        <v>2</v>
      </c>
      <c r="B7" s="301" t="s">
        <v>235</v>
      </c>
      <c r="C7" s="301"/>
      <c r="D7" s="302" t="s">
        <v>3</v>
      </c>
      <c r="E7" s="302"/>
      <c r="F7" s="302" t="s">
        <v>236</v>
      </c>
      <c r="G7" s="302"/>
      <c r="H7" s="302" t="s">
        <v>237</v>
      </c>
      <c r="I7" s="302"/>
      <c r="K7" s="218" t="s">
        <v>276</v>
      </c>
      <c r="P7" s="218" t="s">
        <v>265</v>
      </c>
    </row>
    <row r="8" spans="1:19" ht="45" x14ac:dyDescent="0.25">
      <c r="A8" s="301"/>
      <c r="B8" s="9">
        <v>2019</v>
      </c>
      <c r="C8" s="8">
        <v>2020</v>
      </c>
      <c r="D8" s="9">
        <v>2019</v>
      </c>
      <c r="E8" s="9">
        <v>2020</v>
      </c>
      <c r="F8" s="8">
        <v>2019</v>
      </c>
      <c r="G8" s="8">
        <v>2020</v>
      </c>
      <c r="H8" s="9" t="s">
        <v>4</v>
      </c>
      <c r="I8" s="4" t="s">
        <v>5</v>
      </c>
      <c r="L8" s="287" t="s">
        <v>240</v>
      </c>
      <c r="M8" s="287" t="s">
        <v>278</v>
      </c>
      <c r="N8" s="288" t="s">
        <v>269</v>
      </c>
      <c r="Q8" s="287" t="s">
        <v>248</v>
      </c>
      <c r="R8" s="287" t="s">
        <v>240</v>
      </c>
      <c r="S8" s="288" t="s">
        <v>279</v>
      </c>
    </row>
    <row r="9" spans="1:19" x14ac:dyDescent="0.25">
      <c r="A9" s="16" t="s">
        <v>49</v>
      </c>
      <c r="B9" s="20">
        <f>SUM(B10:B11)</f>
        <v>0.03</v>
      </c>
      <c r="C9" s="20">
        <f>SUM(C10:C11)</f>
        <v>0.15</v>
      </c>
      <c r="D9" s="20"/>
      <c r="E9" s="17">
        <v>1</v>
      </c>
      <c r="F9" s="25" t="str">
        <f>IFERROR(B9/D9,"")</f>
        <v/>
      </c>
      <c r="G9" s="25">
        <f>IFERROR(C9/E9,"")</f>
        <v>0.15</v>
      </c>
      <c r="H9" s="20">
        <f>IFERROR(C9-B9,"")</f>
        <v>0.12</v>
      </c>
      <c r="I9" s="25">
        <f>IFERROR((C9/B9)-1,"")</f>
        <v>4</v>
      </c>
      <c r="J9" s="165"/>
      <c r="K9" s="289" t="s">
        <v>51</v>
      </c>
      <c r="L9" s="162">
        <f>C34</f>
        <v>2837.7999999999997</v>
      </c>
      <c r="M9" s="162">
        <f>E34</f>
        <v>3649</v>
      </c>
      <c r="N9" s="133">
        <f>L9/M9</f>
        <v>0.77769251849821863</v>
      </c>
      <c r="P9" s="289" t="s">
        <v>51</v>
      </c>
      <c r="Q9" s="162">
        <f>B34</f>
        <v>2990.72</v>
      </c>
      <c r="R9" s="162">
        <f>C34</f>
        <v>2837.7999999999997</v>
      </c>
      <c r="S9" s="129">
        <f>R9/Q9-1</f>
        <v>-5.1131500106997629E-2</v>
      </c>
    </row>
    <row r="10" spans="1:19" x14ac:dyDescent="0.25">
      <c r="A10" s="13" t="s">
        <v>13</v>
      </c>
      <c r="B10" s="21"/>
      <c r="C10" s="21">
        <v>0.12</v>
      </c>
      <c r="D10" s="21"/>
      <c r="E10" s="14"/>
      <c r="F10" s="26" t="str">
        <f t="shared" ref="F10:F55" si="0">IFERROR(B10/D10,"")</f>
        <v/>
      </c>
      <c r="G10" s="26" t="str">
        <f t="shared" ref="G10:G55" si="1">IFERROR(C10/E10,"")</f>
        <v/>
      </c>
      <c r="H10" s="21">
        <f t="shared" ref="H10:H55" si="2">IFERROR(C10-B10,"")</f>
        <v>0.12</v>
      </c>
      <c r="I10" s="26" t="str">
        <f t="shared" ref="I10:I55" si="3">IFERROR((C10/B10)-1,"")</f>
        <v/>
      </c>
      <c r="J10" s="165"/>
      <c r="K10" s="289" t="s">
        <v>60</v>
      </c>
      <c r="L10" s="162">
        <f>C18</f>
        <v>430.90999999999997</v>
      </c>
      <c r="M10" s="162">
        <f>E18</f>
        <v>933</v>
      </c>
      <c r="N10" s="133">
        <f t="shared" ref="N10" si="4">L10/M10</f>
        <v>0.46185423365487671</v>
      </c>
      <c r="P10" s="289" t="s">
        <v>60</v>
      </c>
      <c r="Q10" s="162">
        <f>B18</f>
        <v>427.41000000000008</v>
      </c>
      <c r="R10" s="162">
        <f>C18</f>
        <v>430.90999999999997</v>
      </c>
      <c r="S10" s="129">
        <f t="shared" ref="S10" si="5">R10/Q10-1</f>
        <v>8.1888584731286684E-3</v>
      </c>
    </row>
    <row r="11" spans="1:19" x14ac:dyDescent="0.25">
      <c r="A11" s="13" t="s">
        <v>17</v>
      </c>
      <c r="B11" s="21">
        <v>0.03</v>
      </c>
      <c r="C11" s="21">
        <v>0.03</v>
      </c>
      <c r="D11" s="21"/>
      <c r="E11" s="14">
        <v>1</v>
      </c>
      <c r="F11" s="26" t="str">
        <f t="shared" si="0"/>
        <v/>
      </c>
      <c r="G11" s="26">
        <f t="shared" si="1"/>
        <v>0.03</v>
      </c>
      <c r="H11" s="21">
        <f t="shared" si="2"/>
        <v>0</v>
      </c>
      <c r="I11" s="26">
        <f t="shared" si="3"/>
        <v>0</v>
      </c>
      <c r="J11" s="165"/>
    </row>
    <row r="12" spans="1:19" x14ac:dyDescent="0.25">
      <c r="A12" s="16" t="s">
        <v>50</v>
      </c>
      <c r="B12" s="17">
        <f>SUM(B13:B15)</f>
        <v>27.46</v>
      </c>
      <c r="C12" s="17">
        <f>SUM(C13:C15)</f>
        <v>23.290000000000003</v>
      </c>
      <c r="D12" s="17">
        <v>30</v>
      </c>
      <c r="E12" s="17">
        <v>38</v>
      </c>
      <c r="F12" s="25">
        <f>IFERROR(B12/D12,"")</f>
        <v>0.91533333333333333</v>
      </c>
      <c r="G12" s="25">
        <f t="shared" si="1"/>
        <v>0.61289473684210538</v>
      </c>
      <c r="H12" s="17">
        <f t="shared" si="2"/>
        <v>-4.1699999999999982</v>
      </c>
      <c r="I12" s="25">
        <f t="shared" si="3"/>
        <v>-0.15185724690458846</v>
      </c>
      <c r="J12" s="165"/>
    </row>
    <row r="13" spans="1:19" x14ac:dyDescent="0.25">
      <c r="A13" s="13" t="s">
        <v>19</v>
      </c>
      <c r="B13" s="22">
        <v>1.91</v>
      </c>
      <c r="C13" s="22">
        <v>1.92</v>
      </c>
      <c r="D13" s="14">
        <v>2</v>
      </c>
      <c r="E13" s="14">
        <v>2</v>
      </c>
      <c r="F13" s="26">
        <f t="shared" si="0"/>
        <v>0.95499999999999996</v>
      </c>
      <c r="G13" s="26">
        <f t="shared" si="1"/>
        <v>0.96</v>
      </c>
      <c r="H13" s="14">
        <f t="shared" si="2"/>
        <v>1.0000000000000009E-2</v>
      </c>
      <c r="I13" s="26">
        <f t="shared" si="3"/>
        <v>5.2356020942407877E-3</v>
      </c>
      <c r="J13" s="165"/>
    </row>
    <row r="14" spans="1:19" x14ac:dyDescent="0.25">
      <c r="A14" s="13" t="s">
        <v>20</v>
      </c>
      <c r="B14" s="14">
        <v>24.54</v>
      </c>
      <c r="C14" s="14">
        <v>20.36</v>
      </c>
      <c r="D14" s="14">
        <v>28</v>
      </c>
      <c r="E14" s="14">
        <v>35</v>
      </c>
      <c r="F14" s="26">
        <f t="shared" si="0"/>
        <v>0.87642857142857145</v>
      </c>
      <c r="G14" s="26">
        <f t="shared" si="1"/>
        <v>0.58171428571428574</v>
      </c>
      <c r="H14" s="14">
        <f t="shared" si="2"/>
        <v>-4.18</v>
      </c>
      <c r="I14" s="26">
        <f t="shared" si="3"/>
        <v>-0.17033414832925831</v>
      </c>
      <c r="J14" s="165"/>
    </row>
    <row r="15" spans="1:19" x14ac:dyDescent="0.25">
      <c r="A15" s="13" t="s">
        <v>21</v>
      </c>
      <c r="B15" s="21">
        <v>1.01</v>
      </c>
      <c r="C15" s="21">
        <v>1.01</v>
      </c>
      <c r="D15" s="14"/>
      <c r="E15" s="14">
        <v>1</v>
      </c>
      <c r="F15" s="26" t="str">
        <f t="shared" si="0"/>
        <v/>
      </c>
      <c r="G15" s="26">
        <f t="shared" si="1"/>
        <v>1.01</v>
      </c>
      <c r="H15" s="14">
        <f t="shared" si="2"/>
        <v>0</v>
      </c>
      <c r="I15" s="26">
        <f t="shared" si="3"/>
        <v>0</v>
      </c>
      <c r="J15" s="165"/>
    </row>
    <row r="16" spans="1:19" x14ac:dyDescent="0.25">
      <c r="A16" s="16" t="s">
        <v>63</v>
      </c>
      <c r="B16" s="23">
        <f>B17</f>
        <v>0.5</v>
      </c>
      <c r="C16" s="23">
        <v>0.45</v>
      </c>
      <c r="D16" s="17"/>
      <c r="E16" s="17"/>
      <c r="F16" s="25" t="str">
        <f t="shared" si="0"/>
        <v/>
      </c>
      <c r="G16" s="25" t="str">
        <f t="shared" si="1"/>
        <v/>
      </c>
      <c r="H16" s="17">
        <f t="shared" si="2"/>
        <v>-4.9999999999999989E-2</v>
      </c>
      <c r="I16" s="25">
        <f t="shared" si="3"/>
        <v>-9.9999999999999978E-2</v>
      </c>
      <c r="J16" s="165"/>
    </row>
    <row r="17" spans="1:10" x14ac:dyDescent="0.25">
      <c r="A17" s="13" t="s">
        <v>64</v>
      </c>
      <c r="B17" s="22">
        <v>0.5</v>
      </c>
      <c r="C17" s="22">
        <v>0.45</v>
      </c>
      <c r="D17" s="14"/>
      <c r="E17" s="14"/>
      <c r="F17" s="26" t="str">
        <f t="shared" si="0"/>
        <v/>
      </c>
      <c r="G17" s="26" t="str">
        <f t="shared" si="1"/>
        <v/>
      </c>
      <c r="H17" s="14">
        <f t="shared" si="2"/>
        <v>-4.9999999999999989E-2</v>
      </c>
      <c r="I17" s="26">
        <f t="shared" si="3"/>
        <v>-9.9999999999999978E-2</v>
      </c>
      <c r="J17" s="165"/>
    </row>
    <row r="18" spans="1:10" x14ac:dyDescent="0.25">
      <c r="A18" s="16" t="s">
        <v>60</v>
      </c>
      <c r="B18" s="17">
        <f>SUM(B19:B21)</f>
        <v>427.41000000000008</v>
      </c>
      <c r="C18" s="17">
        <f>SUM(C19:C21)</f>
        <v>430.90999999999997</v>
      </c>
      <c r="D18" s="17">
        <v>942</v>
      </c>
      <c r="E18" s="17">
        <v>933</v>
      </c>
      <c r="F18" s="25">
        <f t="shared" si="0"/>
        <v>0.4537261146496816</v>
      </c>
      <c r="G18" s="25">
        <f t="shared" si="1"/>
        <v>0.46185423365487671</v>
      </c>
      <c r="H18" s="17">
        <f t="shared" si="2"/>
        <v>3.4999999999998863</v>
      </c>
      <c r="I18" s="25">
        <f t="shared" si="3"/>
        <v>8.1888584731286684E-3</v>
      </c>
      <c r="J18" s="165"/>
    </row>
    <row r="19" spans="1:10" x14ac:dyDescent="0.25">
      <c r="A19" s="13" t="s">
        <v>22</v>
      </c>
      <c r="B19" s="22">
        <v>0.25</v>
      </c>
      <c r="C19" s="22">
        <v>0.19</v>
      </c>
      <c r="D19" s="14">
        <v>2</v>
      </c>
      <c r="E19" s="14">
        <v>2</v>
      </c>
      <c r="F19" s="26">
        <f t="shared" si="0"/>
        <v>0.125</v>
      </c>
      <c r="G19" s="26">
        <f t="shared" si="1"/>
        <v>9.5000000000000001E-2</v>
      </c>
      <c r="H19" s="14">
        <f t="shared" si="2"/>
        <v>-0.06</v>
      </c>
      <c r="I19" s="26">
        <f t="shared" si="3"/>
        <v>-0.24</v>
      </c>
      <c r="J19" s="165"/>
    </row>
    <row r="20" spans="1:10" x14ac:dyDescent="0.25">
      <c r="A20" s="13" t="s">
        <v>23</v>
      </c>
      <c r="B20" s="14">
        <v>418.87000000000006</v>
      </c>
      <c r="C20" s="14">
        <v>422.77</v>
      </c>
      <c r="D20" s="14">
        <v>940</v>
      </c>
      <c r="E20" s="14">
        <v>931</v>
      </c>
      <c r="F20" s="26">
        <f t="shared" si="0"/>
        <v>0.44560638297872346</v>
      </c>
      <c r="G20" s="26">
        <f t="shared" si="1"/>
        <v>0.45410311493018257</v>
      </c>
      <c r="H20" s="14">
        <f t="shared" si="2"/>
        <v>3.8999999999999204</v>
      </c>
      <c r="I20" s="26">
        <f t="shared" si="3"/>
        <v>9.3107646763910257E-3</v>
      </c>
      <c r="J20" s="165"/>
    </row>
    <row r="21" spans="1:10" x14ac:dyDescent="0.25">
      <c r="A21" s="13" t="s">
        <v>24</v>
      </c>
      <c r="B21" s="22">
        <v>8.2899999999999991</v>
      </c>
      <c r="C21" s="22">
        <v>7.95</v>
      </c>
      <c r="D21" s="14"/>
      <c r="E21" s="14"/>
      <c r="F21" s="26" t="str">
        <f t="shared" si="0"/>
        <v/>
      </c>
      <c r="G21" s="26" t="str">
        <f t="shared" si="1"/>
        <v/>
      </c>
      <c r="H21" s="14">
        <f t="shared" si="2"/>
        <v>-0.33999999999999897</v>
      </c>
      <c r="I21" s="26">
        <f t="shared" si="3"/>
        <v>-4.1013268998793651E-2</v>
      </c>
      <c r="J21" s="165"/>
    </row>
    <row r="22" spans="1:10" x14ac:dyDescent="0.25">
      <c r="A22" s="16" t="s">
        <v>53</v>
      </c>
      <c r="B22" s="23">
        <f>SUM(B23:B26)</f>
        <v>1.8</v>
      </c>
      <c r="C22" s="23">
        <f>SUM(C23:C26)</f>
        <v>4.22</v>
      </c>
      <c r="D22" s="17">
        <v>2</v>
      </c>
      <c r="E22" s="17">
        <v>4</v>
      </c>
      <c r="F22" s="25">
        <f t="shared" si="0"/>
        <v>0.9</v>
      </c>
      <c r="G22" s="25">
        <f t="shared" si="1"/>
        <v>1.0549999999999999</v>
      </c>
      <c r="H22" s="17">
        <f t="shared" si="2"/>
        <v>2.42</v>
      </c>
      <c r="I22" s="25">
        <f t="shared" si="3"/>
        <v>1.3444444444444441</v>
      </c>
      <c r="J22" s="165"/>
    </row>
    <row r="23" spans="1:10" x14ac:dyDescent="0.25">
      <c r="A23" s="13" t="s">
        <v>35</v>
      </c>
      <c r="B23" s="22">
        <v>0.21</v>
      </c>
      <c r="C23" s="22">
        <v>2.37</v>
      </c>
      <c r="D23" s="14">
        <v>1</v>
      </c>
      <c r="E23" s="14">
        <v>3</v>
      </c>
      <c r="F23" s="26">
        <f t="shared" si="0"/>
        <v>0.21</v>
      </c>
      <c r="G23" s="26">
        <f t="shared" si="1"/>
        <v>0.79</v>
      </c>
      <c r="H23" s="14">
        <f t="shared" si="2"/>
        <v>2.16</v>
      </c>
      <c r="I23" s="26">
        <f t="shared" si="3"/>
        <v>10.285714285714286</v>
      </c>
      <c r="J23" s="165"/>
    </row>
    <row r="24" spans="1:10" x14ac:dyDescent="0.25">
      <c r="A24" s="13" t="s">
        <v>36</v>
      </c>
      <c r="B24" s="22"/>
      <c r="C24" s="22">
        <v>1.05</v>
      </c>
      <c r="D24" s="14"/>
      <c r="E24" s="14">
        <v>1</v>
      </c>
      <c r="F24" s="26" t="str">
        <f t="shared" si="0"/>
        <v/>
      </c>
      <c r="G24" s="26">
        <f t="shared" si="1"/>
        <v>1.05</v>
      </c>
      <c r="H24" s="14">
        <f t="shared" si="2"/>
        <v>1.05</v>
      </c>
      <c r="I24" s="26" t="str">
        <f t="shared" si="3"/>
        <v/>
      </c>
      <c r="J24" s="165"/>
    </row>
    <row r="25" spans="1:10" x14ac:dyDescent="0.25">
      <c r="A25" s="13" t="s">
        <v>40</v>
      </c>
      <c r="B25" s="22"/>
      <c r="C25" s="22"/>
      <c r="D25" s="14">
        <v>1</v>
      </c>
      <c r="E25" s="14"/>
      <c r="F25" s="26">
        <f t="shared" si="0"/>
        <v>0</v>
      </c>
      <c r="G25" s="26" t="str">
        <f t="shared" si="1"/>
        <v/>
      </c>
      <c r="H25" s="14">
        <f t="shared" si="2"/>
        <v>0</v>
      </c>
      <c r="I25" s="26" t="str">
        <f t="shared" si="3"/>
        <v/>
      </c>
      <c r="J25" s="165"/>
    </row>
    <row r="26" spans="1:10" x14ac:dyDescent="0.25">
      <c r="A26" s="13" t="s">
        <v>41</v>
      </c>
      <c r="B26" s="22">
        <v>1.59</v>
      </c>
      <c r="C26" s="22">
        <v>0.8</v>
      </c>
      <c r="D26" s="14"/>
      <c r="E26" s="14"/>
      <c r="F26" s="26" t="str">
        <f t="shared" si="0"/>
        <v/>
      </c>
      <c r="G26" s="26" t="str">
        <f t="shared" si="1"/>
        <v/>
      </c>
      <c r="H26" s="14">
        <f t="shared" si="2"/>
        <v>-0.79</v>
      </c>
      <c r="I26" s="26">
        <f t="shared" si="3"/>
        <v>-0.49685534591194969</v>
      </c>
      <c r="J26" s="165"/>
    </row>
    <row r="27" spans="1:10" x14ac:dyDescent="0.25">
      <c r="A27" s="16" t="s">
        <v>52</v>
      </c>
      <c r="B27" s="23">
        <f>SUM(B28:B31)</f>
        <v>4.3</v>
      </c>
      <c r="C27" s="23">
        <f>SUM(C28:C31)</f>
        <v>4.3</v>
      </c>
      <c r="D27" s="17">
        <v>2</v>
      </c>
      <c r="E27" s="17">
        <v>2</v>
      </c>
      <c r="F27" s="25">
        <f t="shared" si="0"/>
        <v>2.15</v>
      </c>
      <c r="G27" s="25">
        <f t="shared" si="1"/>
        <v>2.15</v>
      </c>
      <c r="H27" s="17">
        <f t="shared" si="2"/>
        <v>0</v>
      </c>
      <c r="I27" s="25">
        <f t="shared" si="3"/>
        <v>0</v>
      </c>
      <c r="J27" s="165"/>
    </row>
    <row r="28" spans="1:10" x14ac:dyDescent="0.25">
      <c r="A28" s="13" t="s">
        <v>29</v>
      </c>
      <c r="B28" s="22">
        <v>1.26</v>
      </c>
      <c r="C28" s="22">
        <v>1.26</v>
      </c>
      <c r="D28" s="14"/>
      <c r="E28" s="14"/>
      <c r="F28" s="26" t="str">
        <f t="shared" si="0"/>
        <v/>
      </c>
      <c r="G28" s="26" t="str">
        <f t="shared" si="1"/>
        <v/>
      </c>
      <c r="H28" s="14">
        <f t="shared" si="2"/>
        <v>0</v>
      </c>
      <c r="I28" s="26">
        <f t="shared" si="3"/>
        <v>0</v>
      </c>
      <c r="J28" s="165"/>
    </row>
    <row r="29" spans="1:10" x14ac:dyDescent="0.25">
      <c r="A29" s="13" t="s">
        <v>31</v>
      </c>
      <c r="B29" s="22">
        <v>2.0300000000000002</v>
      </c>
      <c r="C29" s="22">
        <v>2.0300000000000002</v>
      </c>
      <c r="D29" s="14">
        <v>2</v>
      </c>
      <c r="E29" s="14">
        <v>2</v>
      </c>
      <c r="F29" s="26">
        <f t="shared" si="0"/>
        <v>1.0150000000000001</v>
      </c>
      <c r="G29" s="26">
        <f t="shared" si="1"/>
        <v>1.0150000000000001</v>
      </c>
      <c r="H29" s="14">
        <f t="shared" si="2"/>
        <v>0</v>
      </c>
      <c r="I29" s="26">
        <f t="shared" si="3"/>
        <v>0</v>
      </c>
      <c r="J29" s="165"/>
    </row>
    <row r="30" spans="1:10" x14ac:dyDescent="0.25">
      <c r="A30" s="13" t="s">
        <v>32</v>
      </c>
      <c r="B30" s="22">
        <v>0.47</v>
      </c>
      <c r="C30" s="22">
        <v>0.47</v>
      </c>
      <c r="D30" s="14"/>
      <c r="E30" s="14"/>
      <c r="F30" s="26" t="str">
        <f t="shared" si="0"/>
        <v/>
      </c>
      <c r="G30" s="26" t="str">
        <f t="shared" si="1"/>
        <v/>
      </c>
      <c r="H30" s="14">
        <f t="shared" si="2"/>
        <v>0</v>
      </c>
      <c r="I30" s="26">
        <f t="shared" si="3"/>
        <v>0</v>
      </c>
      <c r="J30" s="165"/>
    </row>
    <row r="31" spans="1:10" x14ac:dyDescent="0.25">
      <c r="A31" s="13" t="s">
        <v>33</v>
      </c>
      <c r="B31" s="22">
        <v>0.54</v>
      </c>
      <c r="C31" s="22">
        <v>0.54</v>
      </c>
      <c r="D31" s="14"/>
      <c r="E31" s="14"/>
      <c r="F31" s="26" t="str">
        <f t="shared" si="0"/>
        <v/>
      </c>
      <c r="G31" s="26" t="str">
        <f t="shared" si="1"/>
        <v/>
      </c>
      <c r="H31" s="14">
        <f t="shared" si="2"/>
        <v>0</v>
      </c>
      <c r="I31" s="26">
        <f t="shared" si="3"/>
        <v>0</v>
      </c>
      <c r="J31" s="165"/>
    </row>
    <row r="32" spans="1:10" x14ac:dyDescent="0.25">
      <c r="A32" s="16" t="s">
        <v>65</v>
      </c>
      <c r="B32" s="23">
        <f>B33</f>
        <v>0.33</v>
      </c>
      <c r="C32" s="23">
        <f>SUM(C33)</f>
        <v>0.52</v>
      </c>
      <c r="D32" s="17">
        <v>1</v>
      </c>
      <c r="E32" s="17"/>
      <c r="F32" s="25">
        <f t="shared" si="0"/>
        <v>0.33</v>
      </c>
      <c r="G32" s="25" t="str">
        <f t="shared" si="1"/>
        <v/>
      </c>
      <c r="H32" s="17">
        <f t="shared" si="2"/>
        <v>0.19</v>
      </c>
      <c r="I32" s="25">
        <f t="shared" si="3"/>
        <v>0.57575757575757569</v>
      </c>
      <c r="J32" s="165"/>
    </row>
    <row r="33" spans="1:10" x14ac:dyDescent="0.25">
      <c r="A33" s="13" t="s">
        <v>66</v>
      </c>
      <c r="B33" s="22">
        <v>0.33</v>
      </c>
      <c r="C33" s="22">
        <v>0.52</v>
      </c>
      <c r="D33" s="14">
        <v>1</v>
      </c>
      <c r="E33" s="14"/>
      <c r="F33" s="26">
        <f t="shared" si="0"/>
        <v>0.33</v>
      </c>
      <c r="G33" s="26" t="str">
        <f t="shared" si="1"/>
        <v/>
      </c>
      <c r="H33" s="14">
        <f t="shared" si="2"/>
        <v>0.19</v>
      </c>
      <c r="I33" s="26">
        <f t="shared" si="3"/>
        <v>0.57575757575757569</v>
      </c>
      <c r="J33" s="165"/>
    </row>
    <row r="34" spans="1:10" x14ac:dyDescent="0.25">
      <c r="A34" s="16" t="s">
        <v>51</v>
      </c>
      <c r="B34" s="17">
        <f>SUM(B35:B38)</f>
        <v>2990.72</v>
      </c>
      <c r="C34" s="17">
        <f>SUM(C35:C38)</f>
        <v>2837.7999999999997</v>
      </c>
      <c r="D34" s="17">
        <v>3711</v>
      </c>
      <c r="E34" s="17">
        <v>3649</v>
      </c>
      <c r="F34" s="25">
        <f t="shared" si="0"/>
        <v>0.80590676367555913</v>
      </c>
      <c r="G34" s="25">
        <f t="shared" si="1"/>
        <v>0.77769251849821863</v>
      </c>
      <c r="H34" s="17">
        <f t="shared" si="2"/>
        <v>-152.92000000000007</v>
      </c>
      <c r="I34" s="25">
        <f t="shared" si="3"/>
        <v>-5.1131500106997629E-2</v>
      </c>
      <c r="J34" s="165"/>
    </row>
    <row r="35" spans="1:10" x14ac:dyDescent="0.25">
      <c r="A35" s="13" t="s">
        <v>25</v>
      </c>
      <c r="B35" s="14">
        <v>40.949999999999996</v>
      </c>
      <c r="C35" s="14">
        <v>42.860000000000007</v>
      </c>
      <c r="D35" s="14">
        <v>40</v>
      </c>
      <c r="E35" s="14">
        <v>44</v>
      </c>
      <c r="F35" s="26">
        <f t="shared" si="0"/>
        <v>1.0237499999999999</v>
      </c>
      <c r="G35" s="26">
        <f t="shared" si="1"/>
        <v>0.97409090909090923</v>
      </c>
      <c r="H35" s="14">
        <f t="shared" si="2"/>
        <v>1.9100000000000108</v>
      </c>
      <c r="I35" s="26">
        <f t="shared" si="3"/>
        <v>4.6642246642246921E-2</v>
      </c>
      <c r="J35" s="165"/>
    </row>
    <row r="36" spans="1:10" x14ac:dyDescent="0.25">
      <c r="A36" s="13" t="s">
        <v>26</v>
      </c>
      <c r="B36" s="14">
        <v>404.33</v>
      </c>
      <c r="C36" s="14">
        <v>387.49</v>
      </c>
      <c r="D36" s="14">
        <v>510</v>
      </c>
      <c r="E36" s="14">
        <v>493</v>
      </c>
      <c r="F36" s="26">
        <f t="shared" si="0"/>
        <v>0.79280392156862745</v>
      </c>
      <c r="G36" s="26">
        <f t="shared" si="1"/>
        <v>0.78598377281947263</v>
      </c>
      <c r="H36" s="14">
        <f t="shared" si="2"/>
        <v>-16.839999999999975</v>
      </c>
      <c r="I36" s="26">
        <f t="shared" si="3"/>
        <v>-4.1649147973190193E-2</v>
      </c>
      <c r="J36" s="165"/>
    </row>
    <row r="37" spans="1:10" x14ac:dyDescent="0.25">
      <c r="A37" s="13" t="s">
        <v>27</v>
      </c>
      <c r="B37" s="22">
        <v>5.17</v>
      </c>
      <c r="C37" s="22">
        <v>3.7299999999999995</v>
      </c>
      <c r="D37" s="14">
        <v>4</v>
      </c>
      <c r="E37" s="14">
        <v>3</v>
      </c>
      <c r="F37" s="26">
        <f t="shared" si="0"/>
        <v>1.2925</v>
      </c>
      <c r="G37" s="26">
        <f t="shared" si="1"/>
        <v>1.2433333333333332</v>
      </c>
      <c r="H37" s="14">
        <f t="shared" si="2"/>
        <v>-1.4400000000000004</v>
      </c>
      <c r="I37" s="26">
        <f t="shared" si="3"/>
        <v>-0.27852998065764034</v>
      </c>
      <c r="J37" s="165"/>
    </row>
    <row r="38" spans="1:10" x14ac:dyDescent="0.25">
      <c r="A38" s="13" t="s">
        <v>28</v>
      </c>
      <c r="B38" s="14">
        <v>2540.27</v>
      </c>
      <c r="C38" s="14">
        <v>2403.7199999999998</v>
      </c>
      <c r="D38" s="14">
        <v>3157</v>
      </c>
      <c r="E38" s="14">
        <v>3109</v>
      </c>
      <c r="F38" s="26">
        <f t="shared" si="0"/>
        <v>0.80464681659803605</v>
      </c>
      <c r="G38" s="26">
        <f t="shared" si="1"/>
        <v>0.77314892248311351</v>
      </c>
      <c r="H38" s="14">
        <f t="shared" si="2"/>
        <v>-136.55000000000018</v>
      </c>
      <c r="I38" s="26">
        <f t="shared" si="3"/>
        <v>-5.3754128498151865E-2</v>
      </c>
      <c r="J38" s="165"/>
    </row>
    <row r="39" spans="1:10" x14ac:dyDescent="0.25">
      <c r="A39" s="16" t="s">
        <v>54</v>
      </c>
      <c r="B39" s="23">
        <f>SUM(B40:B41)</f>
        <v>0.27</v>
      </c>
      <c r="C39" s="23">
        <f>SUM(C40:C41)</f>
        <v>0.41</v>
      </c>
      <c r="D39" s="17"/>
      <c r="E39" s="17"/>
      <c r="F39" s="25" t="str">
        <f t="shared" si="0"/>
        <v/>
      </c>
      <c r="G39" s="25" t="str">
        <f t="shared" si="1"/>
        <v/>
      </c>
      <c r="H39" s="17">
        <f t="shared" si="2"/>
        <v>0.13999999999999996</v>
      </c>
      <c r="I39" s="25">
        <f t="shared" si="3"/>
        <v>0.51851851851851838</v>
      </c>
      <c r="J39" s="165"/>
    </row>
    <row r="40" spans="1:10" x14ac:dyDescent="0.25">
      <c r="A40" s="13" t="s">
        <v>43</v>
      </c>
      <c r="B40" s="22">
        <v>0.04</v>
      </c>
      <c r="C40" s="22">
        <v>0.04</v>
      </c>
      <c r="D40" s="14"/>
      <c r="E40" s="14"/>
      <c r="F40" s="26" t="str">
        <f t="shared" si="0"/>
        <v/>
      </c>
      <c r="G40" s="26" t="str">
        <f t="shared" si="1"/>
        <v/>
      </c>
      <c r="H40" s="14">
        <f t="shared" si="2"/>
        <v>0</v>
      </c>
      <c r="I40" s="26">
        <f t="shared" si="3"/>
        <v>0</v>
      </c>
      <c r="J40" s="165"/>
    </row>
    <row r="41" spans="1:10" x14ac:dyDescent="0.25">
      <c r="A41" s="13" t="s">
        <v>44</v>
      </c>
      <c r="B41" s="22">
        <v>0.23</v>
      </c>
      <c r="C41" s="22">
        <v>0.37</v>
      </c>
      <c r="D41" s="14"/>
      <c r="E41" s="14"/>
      <c r="F41" s="26" t="str">
        <f t="shared" si="0"/>
        <v/>
      </c>
      <c r="G41" s="26" t="str">
        <f t="shared" si="1"/>
        <v/>
      </c>
      <c r="H41" s="14">
        <f t="shared" si="2"/>
        <v>0.13999999999999999</v>
      </c>
      <c r="I41" s="26">
        <f t="shared" si="3"/>
        <v>0.60869565217391286</v>
      </c>
      <c r="J41" s="165"/>
    </row>
    <row r="42" spans="1:10" x14ac:dyDescent="0.25">
      <c r="A42" s="16" t="s">
        <v>67</v>
      </c>
      <c r="B42" s="23">
        <f>SUM(B43:B46)</f>
        <v>1.71</v>
      </c>
      <c r="C42" s="23">
        <f>SUM(C43:C46)</f>
        <v>1.71</v>
      </c>
      <c r="D42" s="17"/>
      <c r="E42" s="17"/>
      <c r="F42" s="25" t="str">
        <f t="shared" si="0"/>
        <v/>
      </c>
      <c r="G42" s="25" t="str">
        <f t="shared" si="1"/>
        <v/>
      </c>
      <c r="H42" s="17">
        <f t="shared" si="2"/>
        <v>0</v>
      </c>
      <c r="I42" s="25">
        <f t="shared" si="3"/>
        <v>0</v>
      </c>
      <c r="J42" s="165"/>
    </row>
    <row r="43" spans="1:10" x14ac:dyDescent="0.25">
      <c r="A43" s="13" t="s">
        <v>68</v>
      </c>
      <c r="B43" s="22">
        <v>0.18</v>
      </c>
      <c r="C43" s="22">
        <v>0.18</v>
      </c>
      <c r="D43" s="14"/>
      <c r="E43" s="14"/>
      <c r="F43" s="26" t="str">
        <f t="shared" si="0"/>
        <v/>
      </c>
      <c r="G43" s="26" t="str">
        <f t="shared" si="1"/>
        <v/>
      </c>
      <c r="H43" s="14">
        <f t="shared" si="2"/>
        <v>0</v>
      </c>
      <c r="I43" s="26">
        <f t="shared" si="3"/>
        <v>0</v>
      </c>
      <c r="J43" s="165"/>
    </row>
    <row r="44" spans="1:10" x14ac:dyDescent="0.25">
      <c r="A44" s="13" t="s">
        <v>69</v>
      </c>
      <c r="B44" s="22">
        <v>0.43</v>
      </c>
      <c r="C44" s="22">
        <v>0.43</v>
      </c>
      <c r="D44" s="14"/>
      <c r="E44" s="14"/>
      <c r="F44" s="26" t="str">
        <f t="shared" si="0"/>
        <v/>
      </c>
      <c r="G44" s="26" t="str">
        <f t="shared" si="1"/>
        <v/>
      </c>
      <c r="H44" s="14">
        <f t="shared" si="2"/>
        <v>0</v>
      </c>
      <c r="I44" s="26">
        <f t="shared" si="3"/>
        <v>0</v>
      </c>
      <c r="J44" s="165"/>
    </row>
    <row r="45" spans="1:10" x14ac:dyDescent="0.25">
      <c r="A45" s="13" t="s">
        <v>70</v>
      </c>
      <c r="B45" s="22">
        <v>0.31</v>
      </c>
      <c r="C45" s="22">
        <v>0.31</v>
      </c>
      <c r="D45" s="14"/>
      <c r="E45" s="14"/>
      <c r="F45" s="26" t="str">
        <f t="shared" si="0"/>
        <v/>
      </c>
      <c r="G45" s="26" t="str">
        <f t="shared" si="1"/>
        <v/>
      </c>
      <c r="H45" s="14">
        <f t="shared" si="2"/>
        <v>0</v>
      </c>
      <c r="I45" s="26">
        <f t="shared" si="3"/>
        <v>0</v>
      </c>
      <c r="J45" s="165"/>
    </row>
    <row r="46" spans="1:10" x14ac:dyDescent="0.25">
      <c r="A46" s="13" t="s">
        <v>71</v>
      </c>
      <c r="B46" s="22">
        <v>0.79</v>
      </c>
      <c r="C46" s="22">
        <v>0.79</v>
      </c>
      <c r="D46" s="14"/>
      <c r="E46" s="14"/>
      <c r="F46" s="26" t="str">
        <f t="shared" si="0"/>
        <v/>
      </c>
      <c r="G46" s="26" t="str">
        <f t="shared" si="1"/>
        <v/>
      </c>
      <c r="H46" s="14">
        <f t="shared" si="2"/>
        <v>0</v>
      </c>
      <c r="I46" s="26">
        <f t="shared" si="3"/>
        <v>0</v>
      </c>
      <c r="J46" s="165"/>
    </row>
    <row r="47" spans="1:10" x14ac:dyDescent="0.25">
      <c r="A47" s="16" t="s">
        <v>55</v>
      </c>
      <c r="B47" s="23">
        <f>B48</f>
        <v>0.49</v>
      </c>
      <c r="C47" s="23">
        <f>SUM(C48)</f>
        <v>1.1299999999999999</v>
      </c>
      <c r="D47" s="17">
        <v>2</v>
      </c>
      <c r="E47" s="17">
        <v>2</v>
      </c>
      <c r="F47" s="25">
        <f t="shared" si="0"/>
        <v>0.245</v>
      </c>
      <c r="G47" s="25">
        <f t="shared" si="1"/>
        <v>0.56499999999999995</v>
      </c>
      <c r="H47" s="17">
        <f t="shared" si="2"/>
        <v>0.6399999999999999</v>
      </c>
      <c r="I47" s="25">
        <f t="shared" si="3"/>
        <v>1.3061224489795915</v>
      </c>
      <c r="J47" s="165"/>
    </row>
    <row r="48" spans="1:10" x14ac:dyDescent="0.25">
      <c r="A48" s="13" t="s">
        <v>45</v>
      </c>
      <c r="B48" s="22">
        <v>0.49</v>
      </c>
      <c r="C48" s="22">
        <v>1.1299999999999999</v>
      </c>
      <c r="D48" s="14">
        <v>2</v>
      </c>
      <c r="E48" s="14">
        <v>2</v>
      </c>
      <c r="F48" s="26">
        <f t="shared" si="0"/>
        <v>0.245</v>
      </c>
      <c r="G48" s="26">
        <f t="shared" si="1"/>
        <v>0.56499999999999995</v>
      </c>
      <c r="H48" s="14">
        <f t="shared" si="2"/>
        <v>0.6399999999999999</v>
      </c>
      <c r="I48" s="26">
        <f t="shared" si="3"/>
        <v>1.3061224489795915</v>
      </c>
      <c r="J48" s="165"/>
    </row>
    <row r="49" spans="1:19" x14ac:dyDescent="0.25">
      <c r="A49" s="16" t="s">
        <v>57</v>
      </c>
      <c r="B49" s="23">
        <f>B50</f>
        <v>2.2400000000000002</v>
      </c>
      <c r="C49" s="23">
        <f>SUM(C50)</f>
        <v>2.17</v>
      </c>
      <c r="D49" s="17">
        <v>6</v>
      </c>
      <c r="E49" s="17">
        <v>6</v>
      </c>
      <c r="F49" s="25">
        <f t="shared" si="0"/>
        <v>0.37333333333333335</v>
      </c>
      <c r="G49" s="25">
        <f t="shared" si="1"/>
        <v>0.36166666666666664</v>
      </c>
      <c r="H49" s="17">
        <f t="shared" si="2"/>
        <v>-7.0000000000000284E-2</v>
      </c>
      <c r="I49" s="25">
        <f t="shared" si="3"/>
        <v>-3.1250000000000111E-2</v>
      </c>
      <c r="J49" s="165"/>
    </row>
    <row r="50" spans="1:19" x14ac:dyDescent="0.25">
      <c r="A50" s="13" t="s">
        <v>47</v>
      </c>
      <c r="B50" s="22">
        <v>2.2400000000000002</v>
      </c>
      <c r="C50" s="22">
        <v>2.17</v>
      </c>
      <c r="D50" s="14">
        <v>6</v>
      </c>
      <c r="E50" s="14">
        <v>6</v>
      </c>
      <c r="F50" s="26">
        <f t="shared" si="0"/>
        <v>0.37333333333333335</v>
      </c>
      <c r="G50" s="26">
        <f t="shared" si="1"/>
        <v>0.36166666666666664</v>
      </c>
      <c r="H50" s="14">
        <f t="shared" si="2"/>
        <v>-7.0000000000000284E-2</v>
      </c>
      <c r="I50" s="26">
        <f t="shared" si="3"/>
        <v>-3.1250000000000111E-2</v>
      </c>
      <c r="J50" s="165"/>
    </row>
    <row r="51" spans="1:19" x14ac:dyDescent="0.25">
      <c r="A51" s="16" t="s">
        <v>58</v>
      </c>
      <c r="B51" s="23">
        <f>SUM(B52:B54)</f>
        <v>4.0999999999999996</v>
      </c>
      <c r="C51" s="23">
        <f>SUM(C52:C54)</f>
        <v>3.9200000000000004</v>
      </c>
      <c r="D51" s="17">
        <v>134</v>
      </c>
      <c r="E51" s="17">
        <v>134</v>
      </c>
      <c r="F51" s="25">
        <f t="shared" si="0"/>
        <v>3.0597014925373131E-2</v>
      </c>
      <c r="G51" s="25">
        <f t="shared" si="1"/>
        <v>2.9253731343283584E-2</v>
      </c>
      <c r="H51" s="17">
        <f t="shared" si="2"/>
        <v>-0.17999999999999927</v>
      </c>
      <c r="I51" s="25">
        <f t="shared" si="3"/>
        <v>-4.3902439024390061E-2</v>
      </c>
      <c r="J51" s="165"/>
    </row>
    <row r="52" spans="1:19" x14ac:dyDescent="0.25">
      <c r="A52" s="13" t="s">
        <v>48</v>
      </c>
      <c r="B52" s="22">
        <v>0.37</v>
      </c>
      <c r="C52" s="22">
        <v>0.18</v>
      </c>
      <c r="D52" s="14">
        <v>80</v>
      </c>
      <c r="E52" s="14">
        <v>80</v>
      </c>
      <c r="F52" s="26">
        <f t="shared" si="0"/>
        <v>4.6249999999999998E-3</v>
      </c>
      <c r="G52" s="26">
        <f t="shared" si="1"/>
        <v>2.2499999999999998E-3</v>
      </c>
      <c r="H52" s="14">
        <f t="shared" si="2"/>
        <v>-0.19</v>
      </c>
      <c r="I52" s="26">
        <f t="shared" si="3"/>
        <v>-0.5135135135135136</v>
      </c>
      <c r="J52" s="165"/>
    </row>
    <row r="53" spans="1:19" x14ac:dyDescent="0.25">
      <c r="A53" s="13" t="s">
        <v>72</v>
      </c>
      <c r="B53" s="22">
        <v>3.51</v>
      </c>
      <c r="C53" s="22">
        <v>3.56</v>
      </c>
      <c r="D53" s="14">
        <v>26</v>
      </c>
      <c r="E53" s="14">
        <v>26</v>
      </c>
      <c r="F53" s="26">
        <f t="shared" si="0"/>
        <v>0.13499999999999998</v>
      </c>
      <c r="G53" s="26">
        <f t="shared" si="1"/>
        <v>0.13692307692307693</v>
      </c>
      <c r="H53" s="14">
        <f t="shared" si="2"/>
        <v>5.0000000000000266E-2</v>
      </c>
      <c r="I53" s="26">
        <f t="shared" si="3"/>
        <v>1.4245014245014342E-2</v>
      </c>
      <c r="J53" s="165"/>
    </row>
    <row r="54" spans="1:19" x14ac:dyDescent="0.25">
      <c r="A54" s="13" t="s">
        <v>73</v>
      </c>
      <c r="B54" s="22">
        <v>0.22</v>
      </c>
      <c r="C54" s="22">
        <v>0.18</v>
      </c>
      <c r="D54" s="14">
        <v>28</v>
      </c>
      <c r="E54" s="14">
        <v>28</v>
      </c>
      <c r="F54" s="26">
        <f t="shared" si="0"/>
        <v>7.8571428571428577E-3</v>
      </c>
      <c r="G54" s="26">
        <f t="shared" si="1"/>
        <v>6.4285714285714285E-3</v>
      </c>
      <c r="H54" s="14">
        <f t="shared" si="2"/>
        <v>-4.0000000000000008E-2</v>
      </c>
      <c r="I54" s="26">
        <f t="shared" si="3"/>
        <v>-0.18181818181818188</v>
      </c>
      <c r="J54" s="165"/>
    </row>
    <row r="55" spans="1:19" x14ac:dyDescent="0.25">
      <c r="A55" s="24" t="s">
        <v>59</v>
      </c>
      <c r="B55" s="19">
        <v>3461.3599999999997</v>
      </c>
      <c r="C55" s="19">
        <f>SUM(C9+C12+C16+C18+C22+C27+C32+C34+C39+C42+C47+C49+C51)</f>
        <v>3310.98</v>
      </c>
      <c r="D55" s="19">
        <v>4830</v>
      </c>
      <c r="E55" s="19">
        <v>4769</v>
      </c>
      <c r="F55" s="27">
        <f t="shared" si="0"/>
        <v>0.71663768115942017</v>
      </c>
      <c r="G55" s="27">
        <f t="shared" si="1"/>
        <v>0.69427133570979238</v>
      </c>
      <c r="H55" s="19">
        <f t="shared" si="2"/>
        <v>-150.37999999999965</v>
      </c>
      <c r="I55" s="27">
        <f t="shared" si="3"/>
        <v>-4.3445350960316098E-2</v>
      </c>
      <c r="J55" s="165"/>
    </row>
    <row r="58" spans="1:19" ht="18.75" x14ac:dyDescent="0.3">
      <c r="A58" s="306" t="s">
        <v>74</v>
      </c>
      <c r="B58" s="306"/>
      <c r="D58" s="3"/>
      <c r="E58" s="2"/>
      <c r="F58" s="5"/>
    </row>
    <row r="59" spans="1:19" ht="30.75" customHeight="1" x14ac:dyDescent="0.25">
      <c r="A59" s="299" t="s">
        <v>2</v>
      </c>
      <c r="B59" s="299" t="s">
        <v>235</v>
      </c>
      <c r="C59" s="299"/>
      <c r="D59" s="300" t="s">
        <v>3</v>
      </c>
      <c r="E59" s="300"/>
      <c r="F59" s="300" t="s">
        <v>236</v>
      </c>
      <c r="G59" s="300"/>
      <c r="H59" s="300" t="s">
        <v>237</v>
      </c>
      <c r="I59" s="300"/>
      <c r="K59" s="296" t="s">
        <v>276</v>
      </c>
      <c r="L59" s="297"/>
      <c r="P59" s="296" t="s">
        <v>265</v>
      </c>
      <c r="Q59" s="297"/>
    </row>
    <row r="60" spans="1:19" ht="45" x14ac:dyDescent="0.25">
      <c r="A60" s="299"/>
      <c r="B60" s="57">
        <v>2019</v>
      </c>
      <c r="C60" s="58">
        <v>2020</v>
      </c>
      <c r="D60" s="57">
        <v>2019</v>
      </c>
      <c r="E60" s="57">
        <v>2020</v>
      </c>
      <c r="F60" s="58">
        <v>2019</v>
      </c>
      <c r="G60" s="58">
        <v>2020</v>
      </c>
      <c r="H60" s="57" t="s">
        <v>4</v>
      </c>
      <c r="I60" s="59" t="s">
        <v>5</v>
      </c>
      <c r="L60" s="290" t="s">
        <v>240</v>
      </c>
      <c r="M60" s="290" t="s">
        <v>278</v>
      </c>
      <c r="N60" s="291" t="s">
        <v>269</v>
      </c>
      <c r="Q60" s="290" t="s">
        <v>248</v>
      </c>
      <c r="R60" s="290" t="s">
        <v>240</v>
      </c>
      <c r="S60" s="291" t="s">
        <v>279</v>
      </c>
    </row>
    <row r="61" spans="1:19" x14ac:dyDescent="0.25">
      <c r="A61" s="60" t="s">
        <v>49</v>
      </c>
      <c r="B61" s="61">
        <f>B62</f>
        <v>0.43</v>
      </c>
      <c r="C61" s="61">
        <f>SUM(C62)</f>
        <v>0.43</v>
      </c>
      <c r="D61" s="61">
        <v>1</v>
      </c>
      <c r="E61" s="61"/>
      <c r="F61" s="62">
        <f>IFERROR(B61/D61,"")</f>
        <v>0.43</v>
      </c>
      <c r="G61" s="62" t="str">
        <f>IFERROR(C61/E61,"")</f>
        <v/>
      </c>
      <c r="H61" s="61">
        <f>IFERROR(C61-B61,"")</f>
        <v>0</v>
      </c>
      <c r="I61" s="62">
        <f>IFERROR((C61/B61)-1,"")</f>
        <v>0</v>
      </c>
      <c r="J61" s="165"/>
      <c r="K61" s="292" t="s">
        <v>51</v>
      </c>
      <c r="L61" s="162">
        <f>C79</f>
        <v>6869.3400000000047</v>
      </c>
      <c r="M61" s="162">
        <f>E79</f>
        <v>8236</v>
      </c>
      <c r="N61" s="124">
        <f>L61/M61</f>
        <v>0.83406265177270578</v>
      </c>
      <c r="P61" s="292" t="s">
        <v>51</v>
      </c>
      <c r="Q61" s="162">
        <f>B79</f>
        <v>7084.9</v>
      </c>
      <c r="R61" s="162">
        <f>C79</f>
        <v>6869.3400000000047</v>
      </c>
      <c r="S61" s="124">
        <f>R61/Q61-1</f>
        <v>-3.0425270646021074E-2</v>
      </c>
    </row>
    <row r="62" spans="1:19" x14ac:dyDescent="0.25">
      <c r="A62" s="13" t="s">
        <v>13</v>
      </c>
      <c r="B62" s="14">
        <v>0.43</v>
      </c>
      <c r="C62" s="14">
        <v>0.43</v>
      </c>
      <c r="D62" s="14"/>
      <c r="E62" s="14"/>
      <c r="F62" s="26" t="str">
        <f t="shared" ref="F62:F90" si="6">IFERROR(B62/D62,"")</f>
        <v/>
      </c>
      <c r="G62" s="26" t="str">
        <f t="shared" ref="G62:G90" si="7">IFERROR(C62/E62,"")</f>
        <v/>
      </c>
      <c r="H62" s="14">
        <f t="shared" ref="H62:H90" si="8">IFERROR(C62-B62,"")</f>
        <v>0</v>
      </c>
      <c r="I62" s="26">
        <f t="shared" ref="I62:I90" si="9">IFERROR((C62/B62)-1,"")</f>
        <v>0</v>
      </c>
      <c r="J62" s="165"/>
    </row>
    <row r="63" spans="1:19" x14ac:dyDescent="0.25">
      <c r="A63" s="13" t="s">
        <v>17</v>
      </c>
      <c r="B63" s="14"/>
      <c r="C63" s="14"/>
      <c r="D63" s="14">
        <v>1</v>
      </c>
      <c r="E63" s="14"/>
      <c r="F63" s="26">
        <f t="shared" si="6"/>
        <v>0</v>
      </c>
      <c r="G63" s="26" t="str">
        <f t="shared" si="7"/>
        <v/>
      </c>
      <c r="H63" s="14">
        <f t="shared" si="8"/>
        <v>0</v>
      </c>
      <c r="I63" s="26" t="str">
        <f t="shared" si="9"/>
        <v/>
      </c>
      <c r="J63" s="165"/>
    </row>
    <row r="64" spans="1:19" x14ac:dyDescent="0.25">
      <c r="A64" s="60" t="s">
        <v>50</v>
      </c>
      <c r="B64" s="61">
        <f>SUM(B65:B67)</f>
        <v>0.24000000000000002</v>
      </c>
      <c r="C64" s="61">
        <f>SUM(C65:C67)</f>
        <v>7.5299999999999994</v>
      </c>
      <c r="D64" s="61">
        <v>7</v>
      </c>
      <c r="E64" s="61">
        <v>7</v>
      </c>
      <c r="F64" s="62">
        <f t="shared" si="6"/>
        <v>3.4285714285714287E-2</v>
      </c>
      <c r="G64" s="62">
        <f>IFERROR(C64/E64,"")</f>
        <v>1.0757142857142856</v>
      </c>
      <c r="H64" s="61">
        <f t="shared" si="8"/>
        <v>7.2899999999999991</v>
      </c>
      <c r="I64" s="62">
        <f>IFERROR((C64/B64)-1,"")</f>
        <v>30.374999999999996</v>
      </c>
      <c r="J64" s="165"/>
    </row>
    <row r="65" spans="1:10" x14ac:dyDescent="0.25">
      <c r="A65" s="13" t="s">
        <v>19</v>
      </c>
      <c r="B65" s="14"/>
      <c r="C65" s="14">
        <v>0.5</v>
      </c>
      <c r="D65" s="14"/>
      <c r="E65" s="14"/>
      <c r="F65" s="26" t="str">
        <f t="shared" si="6"/>
        <v/>
      </c>
      <c r="G65" s="26" t="str">
        <f t="shared" si="7"/>
        <v/>
      </c>
      <c r="H65" s="14">
        <f t="shared" si="8"/>
        <v>0.5</v>
      </c>
      <c r="I65" s="26" t="str">
        <f t="shared" si="9"/>
        <v/>
      </c>
      <c r="J65" s="165"/>
    </row>
    <row r="66" spans="1:10" x14ac:dyDescent="0.25">
      <c r="A66" s="13" t="s">
        <v>20</v>
      </c>
      <c r="B66" s="14">
        <v>0.14000000000000001</v>
      </c>
      <c r="C66" s="14">
        <v>6.6499999999999995</v>
      </c>
      <c r="D66" s="14">
        <v>7</v>
      </c>
      <c r="E66" s="14">
        <v>7</v>
      </c>
      <c r="F66" s="26">
        <f t="shared" si="6"/>
        <v>0.02</v>
      </c>
      <c r="G66" s="26">
        <f t="shared" si="7"/>
        <v>0.95</v>
      </c>
      <c r="H66" s="14">
        <f t="shared" si="8"/>
        <v>6.51</v>
      </c>
      <c r="I66" s="26">
        <f t="shared" si="9"/>
        <v>46.499999999999993</v>
      </c>
      <c r="J66" s="165"/>
    </row>
    <row r="67" spans="1:10" x14ac:dyDescent="0.25">
      <c r="A67" s="13" t="s">
        <v>21</v>
      </c>
      <c r="B67" s="14">
        <v>0.1</v>
      </c>
      <c r="C67" s="14">
        <v>0.38</v>
      </c>
      <c r="D67" s="14"/>
      <c r="E67" s="14"/>
      <c r="F67" s="26" t="str">
        <f t="shared" si="6"/>
        <v/>
      </c>
      <c r="G67" s="26" t="str">
        <f t="shared" si="7"/>
        <v/>
      </c>
      <c r="H67" s="14">
        <f t="shared" si="8"/>
        <v>0.28000000000000003</v>
      </c>
      <c r="I67" s="26">
        <f t="shared" si="9"/>
        <v>2.8</v>
      </c>
      <c r="J67" s="165"/>
    </row>
    <row r="68" spans="1:10" x14ac:dyDescent="0.25">
      <c r="A68" s="60" t="s">
        <v>60</v>
      </c>
      <c r="B68" s="61">
        <f>SUM(B69:B71)</f>
        <v>18.130000000000003</v>
      </c>
      <c r="C68" s="61">
        <f>SUM(C70:C71)</f>
        <v>10.92</v>
      </c>
      <c r="D68" s="61">
        <v>36</v>
      </c>
      <c r="E68" s="61">
        <v>27</v>
      </c>
      <c r="F68" s="62">
        <f t="shared" si="6"/>
        <v>0.50361111111111123</v>
      </c>
      <c r="G68" s="62">
        <f t="shared" si="7"/>
        <v>0.40444444444444444</v>
      </c>
      <c r="H68" s="61">
        <f t="shared" si="8"/>
        <v>-7.2100000000000026</v>
      </c>
      <c r="I68" s="62">
        <f t="shared" si="9"/>
        <v>-0.39768339768339778</v>
      </c>
      <c r="J68" s="165"/>
    </row>
    <row r="69" spans="1:10" x14ac:dyDescent="0.25">
      <c r="A69" s="15" t="s">
        <v>22</v>
      </c>
      <c r="B69" s="14">
        <v>0.03</v>
      </c>
      <c r="C69" s="14"/>
      <c r="D69" s="12"/>
      <c r="E69" s="12"/>
      <c r="F69" s="28" t="str">
        <f t="shared" si="6"/>
        <v/>
      </c>
      <c r="G69" s="28" t="str">
        <f t="shared" si="7"/>
        <v/>
      </c>
      <c r="H69" s="12">
        <f t="shared" si="8"/>
        <v>-0.03</v>
      </c>
      <c r="I69" s="69">
        <f t="shared" si="9"/>
        <v>-1</v>
      </c>
      <c r="J69" s="165"/>
    </row>
    <row r="70" spans="1:10" x14ac:dyDescent="0.25">
      <c r="A70" s="13" t="s">
        <v>23</v>
      </c>
      <c r="B70" s="14">
        <v>18.100000000000001</v>
      </c>
      <c r="C70" s="14">
        <v>10.88</v>
      </c>
      <c r="D70" s="14">
        <v>29</v>
      </c>
      <c r="E70" s="14">
        <v>20</v>
      </c>
      <c r="F70" s="26">
        <f t="shared" si="6"/>
        <v>0.62413793103448278</v>
      </c>
      <c r="G70" s="26">
        <f t="shared" si="7"/>
        <v>0.54400000000000004</v>
      </c>
      <c r="H70" s="14">
        <f t="shared" si="8"/>
        <v>-7.2200000000000006</v>
      </c>
      <c r="I70" s="26">
        <f t="shared" si="9"/>
        <v>-0.3988950276243094</v>
      </c>
      <c r="J70" s="165"/>
    </row>
    <row r="71" spans="1:10" x14ac:dyDescent="0.25">
      <c r="A71" s="13" t="s">
        <v>24</v>
      </c>
      <c r="B71" s="14"/>
      <c r="C71" s="14">
        <v>0.04</v>
      </c>
      <c r="D71" s="14">
        <v>7</v>
      </c>
      <c r="E71" s="14">
        <v>7</v>
      </c>
      <c r="F71" s="26">
        <f t="shared" si="6"/>
        <v>0</v>
      </c>
      <c r="G71" s="26">
        <f t="shared" si="7"/>
        <v>5.7142857142857143E-3</v>
      </c>
      <c r="H71" s="14">
        <f t="shared" si="8"/>
        <v>0.04</v>
      </c>
      <c r="I71" s="26" t="str">
        <f t="shared" si="9"/>
        <v/>
      </c>
      <c r="J71" s="165"/>
    </row>
    <row r="72" spans="1:10" x14ac:dyDescent="0.25">
      <c r="A72" s="60" t="s">
        <v>53</v>
      </c>
      <c r="B72" s="61">
        <f>SUM(B73:B75)</f>
        <v>3.5</v>
      </c>
      <c r="C72" s="61">
        <f>SUM(C73:C75)</f>
        <v>3.51</v>
      </c>
      <c r="D72" s="61">
        <v>5</v>
      </c>
      <c r="E72" s="61">
        <v>5</v>
      </c>
      <c r="F72" s="62">
        <f t="shared" si="6"/>
        <v>0.7</v>
      </c>
      <c r="G72" s="62">
        <f t="shared" si="7"/>
        <v>0.70199999999999996</v>
      </c>
      <c r="H72" s="61">
        <f t="shared" si="8"/>
        <v>9.9999999999997868E-3</v>
      </c>
      <c r="I72" s="62">
        <f t="shared" si="9"/>
        <v>2.8571428571428914E-3</v>
      </c>
      <c r="J72" s="165"/>
    </row>
    <row r="73" spans="1:10" x14ac:dyDescent="0.25">
      <c r="A73" s="13" t="s">
        <v>36</v>
      </c>
      <c r="B73" s="14">
        <v>2.56</v>
      </c>
      <c r="C73" s="14">
        <v>2.56</v>
      </c>
      <c r="D73" s="14">
        <v>3</v>
      </c>
      <c r="E73" s="14">
        <v>3</v>
      </c>
      <c r="F73" s="26">
        <f t="shared" si="6"/>
        <v>0.85333333333333339</v>
      </c>
      <c r="G73" s="26">
        <f t="shared" si="7"/>
        <v>0.85333333333333339</v>
      </c>
      <c r="H73" s="14">
        <f t="shared" si="8"/>
        <v>0</v>
      </c>
      <c r="I73" s="26">
        <f t="shared" si="9"/>
        <v>0</v>
      </c>
      <c r="J73" s="165"/>
    </row>
    <row r="74" spans="1:10" x14ac:dyDescent="0.25">
      <c r="A74" s="13" t="s">
        <v>41</v>
      </c>
      <c r="B74" s="14">
        <v>0.84</v>
      </c>
      <c r="C74" s="14">
        <v>0.86</v>
      </c>
      <c r="D74" s="14">
        <v>2</v>
      </c>
      <c r="E74" s="14">
        <v>2</v>
      </c>
      <c r="F74" s="26">
        <f t="shared" si="6"/>
        <v>0.42</v>
      </c>
      <c r="G74" s="26">
        <f t="shared" si="7"/>
        <v>0.43</v>
      </c>
      <c r="H74" s="14">
        <f t="shared" si="8"/>
        <v>2.0000000000000018E-2</v>
      </c>
      <c r="I74" s="26">
        <f t="shared" si="9"/>
        <v>2.3809523809523725E-2</v>
      </c>
      <c r="J74" s="165"/>
    </row>
    <row r="75" spans="1:10" x14ac:dyDescent="0.25">
      <c r="A75" s="13" t="s">
        <v>42</v>
      </c>
      <c r="B75" s="14">
        <v>0.1</v>
      </c>
      <c r="C75" s="14">
        <v>0.09</v>
      </c>
      <c r="D75" s="14"/>
      <c r="E75" s="14"/>
      <c r="F75" s="26" t="str">
        <f t="shared" si="6"/>
        <v/>
      </c>
      <c r="G75" s="26" t="str">
        <f t="shared" si="7"/>
        <v/>
      </c>
      <c r="H75" s="14">
        <f t="shared" si="8"/>
        <v>-1.0000000000000009E-2</v>
      </c>
      <c r="I75" s="26">
        <f t="shared" si="9"/>
        <v>-0.10000000000000009</v>
      </c>
      <c r="J75" s="165"/>
    </row>
    <row r="76" spans="1:10" x14ac:dyDescent="0.25">
      <c r="A76" s="60" t="s">
        <v>52</v>
      </c>
      <c r="B76" s="61">
        <f>SUM(B77:B78)</f>
        <v>9.0100000000000016</v>
      </c>
      <c r="C76" s="61">
        <f>SUM(C77:C78)</f>
        <v>9.1100000000000012</v>
      </c>
      <c r="D76" s="61">
        <v>10</v>
      </c>
      <c r="E76" s="61">
        <v>10</v>
      </c>
      <c r="F76" s="62">
        <f t="shared" si="6"/>
        <v>0.90100000000000013</v>
      </c>
      <c r="G76" s="62">
        <f t="shared" si="7"/>
        <v>0.91100000000000014</v>
      </c>
      <c r="H76" s="61">
        <f t="shared" si="8"/>
        <v>9.9999999999999645E-2</v>
      </c>
      <c r="I76" s="62">
        <f t="shared" si="9"/>
        <v>1.1098779134295134E-2</v>
      </c>
      <c r="J76" s="165"/>
    </row>
    <row r="77" spans="1:10" x14ac:dyDescent="0.25">
      <c r="A77" s="13" t="s">
        <v>29</v>
      </c>
      <c r="B77" s="14">
        <v>8.7100000000000009</v>
      </c>
      <c r="C77" s="14">
        <v>8.7100000000000009</v>
      </c>
      <c r="D77" s="14">
        <v>10</v>
      </c>
      <c r="E77" s="14">
        <v>10</v>
      </c>
      <c r="F77" s="26">
        <f t="shared" si="6"/>
        <v>0.87100000000000011</v>
      </c>
      <c r="G77" s="26">
        <f t="shared" si="7"/>
        <v>0.87100000000000011</v>
      </c>
      <c r="H77" s="14">
        <f t="shared" si="8"/>
        <v>0</v>
      </c>
      <c r="I77" s="26">
        <f t="shared" si="9"/>
        <v>0</v>
      </c>
      <c r="J77" s="165"/>
    </row>
    <row r="78" spans="1:10" x14ac:dyDescent="0.25">
      <c r="A78" s="13" t="s">
        <v>33</v>
      </c>
      <c r="B78" s="14">
        <v>0.3</v>
      </c>
      <c r="C78" s="14">
        <v>0.4</v>
      </c>
      <c r="D78" s="14"/>
      <c r="E78" s="14"/>
      <c r="F78" s="26" t="str">
        <f t="shared" si="6"/>
        <v/>
      </c>
      <c r="G78" s="26" t="str">
        <f t="shared" si="7"/>
        <v/>
      </c>
      <c r="H78" s="14">
        <f t="shared" si="8"/>
        <v>0.10000000000000003</v>
      </c>
      <c r="I78" s="26">
        <f t="shared" si="9"/>
        <v>0.33333333333333348</v>
      </c>
      <c r="J78" s="165"/>
    </row>
    <row r="79" spans="1:10" x14ac:dyDescent="0.25">
      <c r="A79" s="60" t="s">
        <v>51</v>
      </c>
      <c r="B79" s="61">
        <f>SUM(B80:B83)</f>
        <v>7084.9</v>
      </c>
      <c r="C79" s="61">
        <f>SUM(C80:C83)</f>
        <v>6869.3400000000047</v>
      </c>
      <c r="D79" s="61">
        <v>8132</v>
      </c>
      <c r="E79" s="61">
        <v>8236</v>
      </c>
      <c r="F79" s="62">
        <f t="shared" si="6"/>
        <v>0.87123708804722078</v>
      </c>
      <c r="G79" s="62">
        <f t="shared" si="7"/>
        <v>0.83406265177270578</v>
      </c>
      <c r="H79" s="61">
        <f t="shared" si="8"/>
        <v>-215.55999999999494</v>
      </c>
      <c r="I79" s="62">
        <f t="shared" si="9"/>
        <v>-3.0425270646021074E-2</v>
      </c>
      <c r="J79" s="165">
        <f>D79/D90</f>
        <v>0.99255461979738802</v>
      </c>
    </row>
    <row r="80" spans="1:10" x14ac:dyDescent="0.25">
      <c r="A80" s="13" t="s">
        <v>25</v>
      </c>
      <c r="B80" s="14">
        <v>36.840000000000003</v>
      </c>
      <c r="C80" s="14">
        <v>33.570000000000007</v>
      </c>
      <c r="D80" s="14">
        <v>37</v>
      </c>
      <c r="E80" s="14">
        <v>37</v>
      </c>
      <c r="F80" s="26">
        <f t="shared" si="6"/>
        <v>0.99567567567567572</v>
      </c>
      <c r="G80" s="26">
        <f t="shared" si="7"/>
        <v>0.90729729729729747</v>
      </c>
      <c r="H80" s="14">
        <f t="shared" si="8"/>
        <v>-3.269999999999996</v>
      </c>
      <c r="I80" s="26">
        <f t="shared" si="9"/>
        <v>-8.8762214983713283E-2</v>
      </c>
      <c r="J80" s="165"/>
    </row>
    <row r="81" spans="1:10" x14ac:dyDescent="0.25">
      <c r="A81" s="13" t="s">
        <v>26</v>
      </c>
      <c r="B81" s="14">
        <v>391.71000000000004</v>
      </c>
      <c r="C81" s="14">
        <v>386.93999999999994</v>
      </c>
      <c r="D81" s="14">
        <v>467</v>
      </c>
      <c r="E81" s="14">
        <v>471</v>
      </c>
      <c r="F81" s="26">
        <f t="shared" si="6"/>
        <v>0.83877944325481801</v>
      </c>
      <c r="G81" s="26">
        <f t="shared" si="7"/>
        <v>0.82152866242038203</v>
      </c>
      <c r="H81" s="14">
        <f t="shared" si="8"/>
        <v>-4.7700000000000955</v>
      </c>
      <c r="I81" s="26">
        <f t="shared" si="9"/>
        <v>-1.2177376120089067E-2</v>
      </c>
      <c r="J81" s="165"/>
    </row>
    <row r="82" spans="1:10" x14ac:dyDescent="0.25">
      <c r="A82" s="13" t="s">
        <v>27</v>
      </c>
      <c r="B82" s="14">
        <v>3.64</v>
      </c>
      <c r="C82" s="14">
        <v>3.5</v>
      </c>
      <c r="D82" s="14">
        <v>3</v>
      </c>
      <c r="E82" s="14">
        <v>4</v>
      </c>
      <c r="F82" s="26">
        <f t="shared" si="6"/>
        <v>1.2133333333333334</v>
      </c>
      <c r="G82" s="26">
        <f t="shared" si="7"/>
        <v>0.875</v>
      </c>
      <c r="H82" s="14">
        <f t="shared" si="8"/>
        <v>-0.14000000000000012</v>
      </c>
      <c r="I82" s="26">
        <f t="shared" si="9"/>
        <v>-3.8461538461538547E-2</v>
      </c>
      <c r="J82" s="165"/>
    </row>
    <row r="83" spans="1:10" x14ac:dyDescent="0.25">
      <c r="A83" s="13" t="s">
        <v>28</v>
      </c>
      <c r="B83" s="14">
        <v>6652.71</v>
      </c>
      <c r="C83" s="14">
        <v>6445.3300000000045</v>
      </c>
      <c r="D83" s="14">
        <v>7625</v>
      </c>
      <c r="E83" s="14">
        <v>7724</v>
      </c>
      <c r="F83" s="26">
        <f t="shared" si="6"/>
        <v>0.87248655737704917</v>
      </c>
      <c r="G83" s="26">
        <f t="shared" si="7"/>
        <v>0.83445494562402955</v>
      </c>
      <c r="H83" s="14">
        <f t="shared" si="8"/>
        <v>-207.37999999999556</v>
      </c>
      <c r="I83" s="26">
        <f t="shared" si="9"/>
        <v>-3.1172259124476409E-2</v>
      </c>
      <c r="J83" s="165"/>
    </row>
    <row r="84" spans="1:10" x14ac:dyDescent="0.25">
      <c r="A84" s="60" t="s">
        <v>54</v>
      </c>
      <c r="B84" s="61">
        <f>B85</f>
        <v>0.1</v>
      </c>
      <c r="C84" s="61">
        <f>SUM(C85)</f>
        <v>10.98</v>
      </c>
      <c r="D84" s="61"/>
      <c r="E84" s="61">
        <v>11</v>
      </c>
      <c r="F84" s="62" t="str">
        <f t="shared" si="6"/>
        <v/>
      </c>
      <c r="G84" s="62">
        <f t="shared" si="7"/>
        <v>0.99818181818181817</v>
      </c>
      <c r="H84" s="61">
        <f t="shared" si="8"/>
        <v>10.88</v>
      </c>
      <c r="I84" s="62">
        <f t="shared" si="9"/>
        <v>108.8</v>
      </c>
      <c r="J84" s="165"/>
    </row>
    <row r="85" spans="1:10" x14ac:dyDescent="0.25">
      <c r="A85" s="13" t="s">
        <v>44</v>
      </c>
      <c r="B85" s="14">
        <v>0.1</v>
      </c>
      <c r="C85" s="14">
        <v>10.98</v>
      </c>
      <c r="D85" s="14"/>
      <c r="E85" s="14">
        <v>11</v>
      </c>
      <c r="F85" s="26" t="str">
        <f t="shared" si="6"/>
        <v/>
      </c>
      <c r="G85" s="26">
        <f t="shared" si="7"/>
        <v>0.99818181818181817</v>
      </c>
      <c r="H85" s="14">
        <f t="shared" si="8"/>
        <v>10.88</v>
      </c>
      <c r="I85" s="26">
        <f t="shared" si="9"/>
        <v>108.8</v>
      </c>
      <c r="J85" s="165"/>
    </row>
    <row r="86" spans="1:10" x14ac:dyDescent="0.25">
      <c r="A86" s="60" t="s">
        <v>55</v>
      </c>
      <c r="B86" s="61">
        <f>B87</f>
        <v>0.35</v>
      </c>
      <c r="C86" s="61">
        <f>SUM(A87)</f>
        <v>0</v>
      </c>
      <c r="D86" s="61">
        <v>2</v>
      </c>
      <c r="E86" s="61">
        <v>2</v>
      </c>
      <c r="F86" s="62">
        <f t="shared" si="6"/>
        <v>0.17499999999999999</v>
      </c>
      <c r="G86" s="62">
        <f t="shared" si="7"/>
        <v>0</v>
      </c>
      <c r="H86" s="61">
        <f t="shared" si="8"/>
        <v>-0.35</v>
      </c>
      <c r="I86" s="62">
        <f t="shared" si="9"/>
        <v>-1</v>
      </c>
      <c r="J86" s="165"/>
    </row>
    <row r="87" spans="1:10" x14ac:dyDescent="0.25">
      <c r="A87" s="13" t="s">
        <v>45</v>
      </c>
      <c r="B87" s="14">
        <v>0.35</v>
      </c>
      <c r="C87" s="14">
        <v>0.8</v>
      </c>
      <c r="D87" s="14">
        <v>2</v>
      </c>
      <c r="E87" s="14">
        <v>2</v>
      </c>
      <c r="F87" s="26">
        <f t="shared" si="6"/>
        <v>0.17499999999999999</v>
      </c>
      <c r="G87" s="26">
        <f t="shared" si="7"/>
        <v>0.4</v>
      </c>
      <c r="H87" s="14">
        <f t="shared" si="8"/>
        <v>0.45000000000000007</v>
      </c>
      <c r="I87" s="26">
        <f t="shared" si="9"/>
        <v>1.285714285714286</v>
      </c>
      <c r="J87" s="165"/>
    </row>
    <row r="88" spans="1:10" x14ac:dyDescent="0.25">
      <c r="A88" s="60" t="s">
        <v>57</v>
      </c>
      <c r="B88" s="61">
        <f>B89</f>
        <v>0.03</v>
      </c>
      <c r="C88" s="61">
        <f>SUM(C89)</f>
        <v>0.03</v>
      </c>
      <c r="D88" s="61"/>
      <c r="E88" s="61"/>
      <c r="F88" s="62" t="str">
        <f t="shared" si="6"/>
        <v/>
      </c>
      <c r="G88" s="62" t="str">
        <f t="shared" si="7"/>
        <v/>
      </c>
      <c r="H88" s="61">
        <f t="shared" si="8"/>
        <v>0</v>
      </c>
      <c r="I88" s="62">
        <f t="shared" si="9"/>
        <v>0</v>
      </c>
      <c r="J88" s="165"/>
    </row>
    <row r="89" spans="1:10" x14ac:dyDescent="0.25">
      <c r="A89" s="13" t="s">
        <v>47</v>
      </c>
      <c r="B89" s="14">
        <v>0.03</v>
      </c>
      <c r="C89" s="14">
        <v>0.03</v>
      </c>
      <c r="D89" s="14"/>
      <c r="E89" s="14"/>
      <c r="F89" s="26" t="str">
        <f t="shared" si="6"/>
        <v/>
      </c>
      <c r="G89" s="26" t="str">
        <f t="shared" si="7"/>
        <v/>
      </c>
      <c r="H89" s="14">
        <f t="shared" si="8"/>
        <v>0</v>
      </c>
      <c r="I89" s="26">
        <f t="shared" si="9"/>
        <v>0</v>
      </c>
      <c r="J89" s="165"/>
    </row>
    <row r="90" spans="1:10" x14ac:dyDescent="0.25">
      <c r="A90" s="68" t="s">
        <v>59</v>
      </c>
      <c r="B90" s="64">
        <v>7116.6900000000014</v>
      </c>
      <c r="C90" s="64">
        <f>SUM(C61+C64+C68+C72+C76+C79+C84+C86+C88)</f>
        <v>6911.850000000004</v>
      </c>
      <c r="D90" s="64">
        <v>8193</v>
      </c>
      <c r="E90" s="64">
        <v>8298</v>
      </c>
      <c r="F90" s="65">
        <f t="shared" si="6"/>
        <v>0.8686305382643722</v>
      </c>
      <c r="G90" s="65">
        <f t="shared" si="7"/>
        <v>0.83295372378886523</v>
      </c>
      <c r="H90" s="64">
        <f t="shared" si="8"/>
        <v>-204.83999999999742</v>
      </c>
      <c r="I90" s="65">
        <f t="shared" si="9"/>
        <v>-2.8783043802666275E-2</v>
      </c>
      <c r="J90" s="165"/>
    </row>
  </sheetData>
  <mergeCells count="12">
    <mergeCell ref="H7:I7"/>
    <mergeCell ref="A58:B58"/>
    <mergeCell ref="A59:A60"/>
    <mergeCell ref="B59:C59"/>
    <mergeCell ref="D59:E59"/>
    <mergeCell ref="F59:G59"/>
    <mergeCell ref="H59:I59"/>
    <mergeCell ref="A6:B6"/>
    <mergeCell ref="A7:A8"/>
    <mergeCell ref="B7:C7"/>
    <mergeCell ref="D7:E7"/>
    <mergeCell ref="F7:G7"/>
  </mergeCells>
  <conditionalFormatting sqref="H9:I55 H61:I90">
    <cfRule type="cellIs" dxfId="3" priority="1" operator="lessThan">
      <formula>0</formula>
    </cfRule>
  </conditionalFormatting>
  <hyperlinks>
    <hyperlink ref="D1" location="INDICE!A1" display="I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3"/>
  <sheetViews>
    <sheetView topLeftCell="I10" workbookViewId="0">
      <selection activeCell="D1" sqref="D1"/>
    </sheetView>
  </sheetViews>
  <sheetFormatPr baseColWidth="10" defaultRowHeight="15" x14ac:dyDescent="0.25"/>
  <cols>
    <col min="1" max="1" width="19.85546875" customWidth="1"/>
    <col min="6" max="6" width="16.85546875" customWidth="1"/>
    <col min="7" max="7" width="15.85546875" customWidth="1"/>
    <col min="8" max="8" width="13.42578125" customWidth="1"/>
    <col min="12" max="12" width="12.42578125" customWidth="1"/>
    <col min="13" max="13" width="13.28515625" customWidth="1"/>
    <col min="14" max="14" width="17.42578125" bestFit="1" customWidth="1"/>
    <col min="15" max="15" width="6" customWidth="1"/>
  </cols>
  <sheetData>
    <row r="1" spans="1:19" x14ac:dyDescent="0.25">
      <c r="C1" s="2" t="s">
        <v>0</v>
      </c>
      <c r="D1" s="176" t="s">
        <v>1</v>
      </c>
      <c r="E1" s="2" t="s">
        <v>216</v>
      </c>
      <c r="F1" t="s">
        <v>228</v>
      </c>
    </row>
    <row r="2" spans="1:19" x14ac:dyDescent="0.25">
      <c r="C2" s="2"/>
      <c r="D2" s="5"/>
      <c r="E2" s="2"/>
      <c r="F2" t="s">
        <v>218</v>
      </c>
    </row>
    <row r="3" spans="1:19" x14ac:dyDescent="0.25">
      <c r="C3" s="2"/>
      <c r="D3" s="5"/>
      <c r="E3" s="2"/>
      <c r="F3" t="s">
        <v>222</v>
      </c>
    </row>
    <row r="4" spans="1:19" x14ac:dyDescent="0.25">
      <c r="F4" t="s">
        <v>220</v>
      </c>
    </row>
    <row r="5" spans="1:19" x14ac:dyDescent="0.25">
      <c r="F5" t="s">
        <v>320</v>
      </c>
    </row>
    <row r="6" spans="1:19" ht="18.75" x14ac:dyDescent="0.3">
      <c r="A6" s="305" t="s">
        <v>10</v>
      </c>
      <c r="B6" s="305"/>
      <c r="D6" s="3"/>
    </row>
    <row r="7" spans="1:19" ht="40.5" customHeight="1" x14ac:dyDescent="0.25">
      <c r="A7" s="301" t="s">
        <v>2</v>
      </c>
      <c r="B7" s="301" t="s">
        <v>235</v>
      </c>
      <c r="C7" s="301"/>
      <c r="D7" s="302" t="s">
        <v>95</v>
      </c>
      <c r="E7" s="302"/>
      <c r="F7" s="302" t="s">
        <v>238</v>
      </c>
      <c r="G7" s="302"/>
      <c r="H7" s="302" t="s">
        <v>237</v>
      </c>
      <c r="I7" s="302"/>
      <c r="K7" s="247" t="s">
        <v>276</v>
      </c>
      <c r="P7" s="218" t="s">
        <v>265</v>
      </c>
    </row>
    <row r="8" spans="1:19" ht="45" x14ac:dyDescent="0.25">
      <c r="A8" s="301"/>
      <c r="B8" s="30">
        <v>2019</v>
      </c>
      <c r="C8" s="146">
        <v>2020</v>
      </c>
      <c r="D8" s="30">
        <v>2019</v>
      </c>
      <c r="E8" s="30">
        <v>2020</v>
      </c>
      <c r="F8" s="29">
        <v>2019</v>
      </c>
      <c r="G8" s="29">
        <v>2020</v>
      </c>
      <c r="H8" s="30" t="s">
        <v>4</v>
      </c>
      <c r="I8" s="4" t="s">
        <v>5</v>
      </c>
      <c r="L8" s="285" t="s">
        <v>240</v>
      </c>
      <c r="M8" s="285" t="s">
        <v>302</v>
      </c>
      <c r="N8" s="286" t="s">
        <v>269</v>
      </c>
      <c r="O8" s="265"/>
      <c r="Q8" s="287" t="s">
        <v>248</v>
      </c>
      <c r="R8" s="287" t="s">
        <v>240</v>
      </c>
      <c r="S8" s="288" t="s">
        <v>279</v>
      </c>
    </row>
    <row r="9" spans="1:19" x14ac:dyDescent="0.25">
      <c r="A9" s="16" t="s">
        <v>49</v>
      </c>
      <c r="B9" s="17">
        <f>SUM(B10:B17)</f>
        <v>974.32</v>
      </c>
      <c r="C9" s="17">
        <f>SUM(C10:C17)</f>
        <v>1015.86</v>
      </c>
      <c r="D9" s="17">
        <v>2288.7654999999995</v>
      </c>
      <c r="E9" s="17">
        <v>2272.4498000000003</v>
      </c>
      <c r="F9" s="25">
        <f>IFERROR(B9/D9,"")</f>
        <v>0.42569673476815351</v>
      </c>
      <c r="G9" s="25">
        <f>IFERROR(C9/E9,"")</f>
        <v>0.44703297736214015</v>
      </c>
      <c r="H9" s="17">
        <f>IFERROR(C9-B9,"")</f>
        <v>41.539999999999964</v>
      </c>
      <c r="I9" s="25">
        <f>IFERROR((C9/B9)-1,"")</f>
        <v>4.2634863289268354E-2</v>
      </c>
      <c r="K9" s="284" t="s">
        <v>60</v>
      </c>
      <c r="L9" s="162">
        <f>C21</f>
        <v>6962.6600000000026</v>
      </c>
      <c r="M9" s="162">
        <f>E21</f>
        <v>16021.7531</v>
      </c>
      <c r="N9" s="124">
        <f>L9/M9</f>
        <v>0.43457541484645662</v>
      </c>
      <c r="P9" s="289" t="s">
        <v>60</v>
      </c>
      <c r="Q9" s="162">
        <f>B21</f>
        <v>6139.2899999999991</v>
      </c>
      <c r="R9" s="162">
        <f>C21</f>
        <v>6962.6600000000026</v>
      </c>
      <c r="S9" s="129">
        <f>R9/Q9-1</f>
        <v>0.13411485692971081</v>
      </c>
    </row>
    <row r="10" spans="1:19" x14ac:dyDescent="0.25">
      <c r="A10" s="13" t="s">
        <v>11</v>
      </c>
      <c r="B10" s="14">
        <v>8.25</v>
      </c>
      <c r="C10" s="14">
        <v>8.3800000000000008</v>
      </c>
      <c r="D10" s="14">
        <v>397.161</v>
      </c>
      <c r="E10" s="14">
        <v>395.54860000000002</v>
      </c>
      <c r="F10" s="26">
        <f t="shared" ref="F10:F35" si="0">IFERROR(B10/D10,"")</f>
        <v>2.0772432338522665E-2</v>
      </c>
      <c r="G10" s="26">
        <f t="shared" ref="G10:G35" si="1">IFERROR(C10/E10,"")</f>
        <v>2.1185765794645716E-2</v>
      </c>
      <c r="H10" s="14">
        <f t="shared" ref="H10:H35" si="2">IFERROR(C10-B10,"")</f>
        <v>0.13000000000000078</v>
      </c>
      <c r="I10" s="26">
        <f t="shared" ref="I10:I35" si="3">IFERROR((C10/B10)-1,"")</f>
        <v>1.5757575757575859E-2</v>
      </c>
      <c r="K10" s="284" t="s">
        <v>51</v>
      </c>
      <c r="L10" s="162">
        <f>C25</f>
        <v>3616.1200000000008</v>
      </c>
      <c r="M10" s="162">
        <f>E25</f>
        <v>6737.7255000000005</v>
      </c>
      <c r="N10" s="124">
        <f t="shared" ref="N10:N13" si="4">L10/M10</f>
        <v>0.53669743595223651</v>
      </c>
      <c r="P10" s="289" t="s">
        <v>51</v>
      </c>
      <c r="Q10" s="162">
        <f>B25</f>
        <v>3744.77</v>
      </c>
      <c r="R10" s="162">
        <f>C25</f>
        <v>3616.1200000000008</v>
      </c>
      <c r="S10" s="129">
        <f t="shared" ref="S10:S13" si="5">R10/Q10-1</f>
        <v>-3.4354579854036227E-2</v>
      </c>
    </row>
    <row r="11" spans="1:19" x14ac:dyDescent="0.25">
      <c r="A11" s="13" t="s">
        <v>12</v>
      </c>
      <c r="B11" s="14">
        <v>75.900000000000006</v>
      </c>
      <c r="C11" s="14">
        <v>102.38000000000001</v>
      </c>
      <c r="D11" s="14">
        <v>1201.0391</v>
      </c>
      <c r="E11" s="14">
        <v>1181.9584</v>
      </c>
      <c r="F11" s="26">
        <f t="shared" si="0"/>
        <v>6.3195278155390625E-2</v>
      </c>
      <c r="G11" s="26">
        <f t="shared" si="1"/>
        <v>8.6618953763516554E-2</v>
      </c>
      <c r="H11" s="14">
        <f t="shared" si="2"/>
        <v>26.480000000000004</v>
      </c>
      <c r="I11" s="26">
        <f t="shared" si="3"/>
        <v>0.34888010540184466</v>
      </c>
      <c r="K11" s="284" t="s">
        <v>75</v>
      </c>
      <c r="L11" s="162">
        <f>C31</f>
        <v>2038.2100000000003</v>
      </c>
      <c r="M11" s="162">
        <f>E31</f>
        <v>14489.3369</v>
      </c>
      <c r="N11" s="124">
        <f t="shared" si="4"/>
        <v>0.14066965341940529</v>
      </c>
      <c r="P11" s="289" t="s">
        <v>75</v>
      </c>
      <c r="Q11" s="162">
        <f>B31</f>
        <v>1624.22</v>
      </c>
      <c r="R11" s="162">
        <f>C31</f>
        <v>2038.2100000000003</v>
      </c>
      <c r="S11" s="129">
        <f t="shared" si="5"/>
        <v>0.25488542192560137</v>
      </c>
    </row>
    <row r="12" spans="1:19" x14ac:dyDescent="0.25">
      <c r="A12" s="13" t="s">
        <v>13</v>
      </c>
      <c r="B12" s="14"/>
      <c r="C12" s="14"/>
      <c r="D12" s="14"/>
      <c r="E12" s="14"/>
      <c r="F12" s="26" t="str">
        <f t="shared" si="0"/>
        <v/>
      </c>
      <c r="G12" s="26" t="str">
        <f>IFERROR(C13/E12,"")</f>
        <v/>
      </c>
      <c r="H12" s="14">
        <f>IFERROR(C13-B12,"")</f>
        <v>20.54</v>
      </c>
      <c r="I12" s="26" t="str">
        <f>IFERROR((C13/B12)-1,"")</f>
        <v/>
      </c>
      <c r="K12" s="284" t="s">
        <v>49</v>
      </c>
      <c r="L12" s="164">
        <f>C9</f>
        <v>1015.86</v>
      </c>
      <c r="M12" s="164">
        <f>E9</f>
        <v>2272.4498000000003</v>
      </c>
      <c r="N12" s="124">
        <f t="shared" si="4"/>
        <v>0.44703297736214015</v>
      </c>
      <c r="P12" s="289" t="s">
        <v>49</v>
      </c>
      <c r="Q12" s="164">
        <f>B9</f>
        <v>974.32</v>
      </c>
      <c r="R12" s="164">
        <f>C9</f>
        <v>1015.86</v>
      </c>
      <c r="S12" s="129">
        <f t="shared" si="5"/>
        <v>4.2634863289268354E-2</v>
      </c>
    </row>
    <row r="13" spans="1:19" x14ac:dyDescent="0.25">
      <c r="A13" s="13" t="s">
        <v>14</v>
      </c>
      <c r="B13" s="14">
        <v>27.97</v>
      </c>
      <c r="C13" s="14">
        <v>20.54</v>
      </c>
      <c r="D13" s="14">
        <v>51.416400000000003</v>
      </c>
      <c r="E13" s="14">
        <v>51.444600000000001</v>
      </c>
      <c r="F13" s="26">
        <f t="shared" si="0"/>
        <v>0.5439898553768836</v>
      </c>
      <c r="G13" s="26">
        <f>IFERROR(C14/E13,"")</f>
        <v>14.596284158104057</v>
      </c>
      <c r="H13" s="14">
        <f>IFERROR(C14-B13,"")</f>
        <v>722.93</v>
      </c>
      <c r="I13" s="26">
        <f>IFERROR((C14/B13)-1,"")</f>
        <v>25.846621380050053</v>
      </c>
      <c r="K13" s="284" t="s">
        <v>56</v>
      </c>
      <c r="L13" s="162">
        <f>C33</f>
        <v>734.82</v>
      </c>
      <c r="M13" s="162">
        <f>E33</f>
        <v>1764.9068</v>
      </c>
      <c r="N13" s="124">
        <f t="shared" si="4"/>
        <v>0.41635059709668526</v>
      </c>
      <c r="P13" s="289" t="s">
        <v>56</v>
      </c>
      <c r="Q13" s="162">
        <f>B33</f>
        <v>712.7600000000001</v>
      </c>
      <c r="R13" s="162">
        <f>C33</f>
        <v>734.82</v>
      </c>
      <c r="S13" s="129">
        <f t="shared" si="5"/>
        <v>3.0950109433750317E-2</v>
      </c>
    </row>
    <row r="14" spans="1:19" x14ac:dyDescent="0.25">
      <c r="A14" s="13" t="s">
        <v>15</v>
      </c>
      <c r="B14" s="14">
        <v>740.71</v>
      </c>
      <c r="C14" s="14">
        <v>750.9</v>
      </c>
      <c r="D14" s="14"/>
      <c r="E14" s="14"/>
      <c r="F14" s="26" t="str">
        <f t="shared" si="0"/>
        <v/>
      </c>
      <c r="G14" s="26" t="str">
        <f>IFERROR(C15/E14,"")</f>
        <v/>
      </c>
      <c r="H14" s="14">
        <f>IFERROR(C15-B14,"")</f>
        <v>-740.56000000000006</v>
      </c>
      <c r="I14" s="26">
        <f>IFERROR((C15/B14)-1,"")</f>
        <v>-0.99979749159590126</v>
      </c>
    </row>
    <row r="15" spans="1:19" x14ac:dyDescent="0.25">
      <c r="A15" s="13" t="s">
        <v>16</v>
      </c>
      <c r="B15" s="14">
        <v>0.15</v>
      </c>
      <c r="C15" s="14">
        <v>0.15</v>
      </c>
      <c r="D15" s="14"/>
      <c r="E15" s="14"/>
      <c r="F15" s="26" t="str">
        <f t="shared" si="0"/>
        <v/>
      </c>
      <c r="G15" s="26" t="str">
        <f>IFERROR(C16/E15,"")</f>
        <v/>
      </c>
      <c r="H15" s="14">
        <f>IFERROR(C16-B15,"")</f>
        <v>85.85</v>
      </c>
      <c r="I15" s="26">
        <f>IFERROR((C16/B15)-1,"")</f>
        <v>572.33333333333337</v>
      </c>
    </row>
    <row r="16" spans="1:19" x14ac:dyDescent="0.25">
      <c r="A16" s="13" t="s">
        <v>17</v>
      </c>
      <c r="B16" s="14">
        <v>79.260000000000005</v>
      </c>
      <c r="C16" s="14">
        <v>86</v>
      </c>
      <c r="D16" s="14">
        <v>556.10749999999996</v>
      </c>
      <c r="E16" s="14">
        <v>560.45759999999996</v>
      </c>
      <c r="F16" s="26">
        <f t="shared" si="0"/>
        <v>0.14252640002157857</v>
      </c>
      <c r="G16" s="26">
        <f>IFERROR(C17/E16,"")</f>
        <v>8.4770016500802209E-2</v>
      </c>
      <c r="H16" s="14">
        <f>IFERROR(C17-B16,"")</f>
        <v>-31.750000000000007</v>
      </c>
      <c r="I16" s="26">
        <f>IFERROR((C17/B16)-1,"")</f>
        <v>-0.400580368407772</v>
      </c>
    </row>
    <row r="17" spans="1:9" x14ac:dyDescent="0.25">
      <c r="A17" s="13" t="s">
        <v>18</v>
      </c>
      <c r="B17" s="14">
        <v>42.08</v>
      </c>
      <c r="C17" s="14">
        <v>47.51</v>
      </c>
      <c r="D17" s="14">
        <v>83.041499999999999</v>
      </c>
      <c r="E17" s="14">
        <v>83.040599999999998</v>
      </c>
      <c r="F17" s="26">
        <f t="shared" si="0"/>
        <v>0.50673458451497144</v>
      </c>
      <c r="G17" s="26" t="str">
        <f>IFERROR(#REF!/E17,"")</f>
        <v/>
      </c>
      <c r="H17" s="14" t="str">
        <f>IFERROR(#REF!-B17,"")</f>
        <v/>
      </c>
      <c r="I17" s="26" t="str">
        <f>IFERROR((#REF!/B17)-1,"")</f>
        <v/>
      </c>
    </row>
    <row r="18" spans="1:9" x14ac:dyDescent="0.25">
      <c r="A18" s="16" t="s">
        <v>52</v>
      </c>
      <c r="B18" s="17">
        <f>B19</f>
        <v>1.51</v>
      </c>
      <c r="C18" s="17"/>
      <c r="D18" s="17">
        <v>20.992699999999999</v>
      </c>
      <c r="E18" s="17">
        <v>20.992699999999999</v>
      </c>
      <c r="F18" s="25">
        <f t="shared" si="0"/>
        <v>7.1929766061535685E-2</v>
      </c>
      <c r="G18" s="25">
        <f t="shared" si="1"/>
        <v>0</v>
      </c>
      <c r="H18" s="17">
        <f t="shared" si="2"/>
        <v>-1.51</v>
      </c>
      <c r="I18" s="25">
        <f t="shared" si="3"/>
        <v>-1</v>
      </c>
    </row>
    <row r="19" spans="1:9" x14ac:dyDescent="0.25">
      <c r="A19" s="13" t="s">
        <v>33</v>
      </c>
      <c r="B19" s="14">
        <v>1.51</v>
      </c>
      <c r="C19" s="14"/>
      <c r="D19" s="14"/>
      <c r="E19" s="14"/>
      <c r="F19" s="26" t="str">
        <f t="shared" si="0"/>
        <v/>
      </c>
      <c r="G19" s="26" t="str">
        <f t="shared" si="1"/>
        <v/>
      </c>
      <c r="H19" s="14">
        <f t="shared" si="2"/>
        <v>-1.51</v>
      </c>
      <c r="I19" s="26">
        <f t="shared" si="3"/>
        <v>-1</v>
      </c>
    </row>
    <row r="20" spans="1:9" x14ac:dyDescent="0.25">
      <c r="A20" s="13" t="s">
        <v>30</v>
      </c>
      <c r="B20" s="14"/>
      <c r="C20" s="14"/>
      <c r="D20" s="14">
        <v>20.993099999999998</v>
      </c>
      <c r="E20" s="14">
        <v>20.992699999999999</v>
      </c>
      <c r="F20" s="26">
        <f t="shared" si="0"/>
        <v>0</v>
      </c>
      <c r="G20" s="26">
        <f t="shared" si="1"/>
        <v>0</v>
      </c>
      <c r="H20" s="14">
        <f t="shared" si="2"/>
        <v>0</v>
      </c>
      <c r="I20" s="26" t="str">
        <f t="shared" si="3"/>
        <v/>
      </c>
    </row>
    <row r="21" spans="1:9" x14ac:dyDescent="0.25">
      <c r="A21" s="16" t="s">
        <v>60</v>
      </c>
      <c r="B21" s="17">
        <f>SUM(B22:B24)</f>
        <v>6139.2899999999991</v>
      </c>
      <c r="C21" s="17">
        <f>SUM(C22:C24)</f>
        <v>6962.6600000000026</v>
      </c>
      <c r="D21" s="17">
        <v>16264.871499999999</v>
      </c>
      <c r="E21" s="17">
        <v>16021.7531</v>
      </c>
      <c r="F21" s="25">
        <f t="shared" si="0"/>
        <v>0.37745702448371632</v>
      </c>
      <c r="G21" s="25">
        <f t="shared" si="1"/>
        <v>0.43457541484645662</v>
      </c>
      <c r="H21" s="17">
        <f t="shared" si="2"/>
        <v>823.37000000000353</v>
      </c>
      <c r="I21" s="25">
        <f t="shared" si="3"/>
        <v>0.13411485692971081</v>
      </c>
    </row>
    <row r="22" spans="1:9" x14ac:dyDescent="0.25">
      <c r="A22" s="13" t="s">
        <v>22</v>
      </c>
      <c r="B22" s="14">
        <v>98.679999999999993</v>
      </c>
      <c r="C22" s="14">
        <v>173.01000000000008</v>
      </c>
      <c r="D22" s="14">
        <v>823.08209999999997</v>
      </c>
      <c r="E22" s="14">
        <v>700.23199999999997</v>
      </c>
      <c r="F22" s="26">
        <f t="shared" si="0"/>
        <v>0.11989083470531069</v>
      </c>
      <c r="G22" s="26">
        <f t="shared" si="1"/>
        <v>0.24707525505832365</v>
      </c>
      <c r="H22" s="14">
        <f t="shared" si="2"/>
        <v>74.330000000000084</v>
      </c>
      <c r="I22" s="26">
        <f t="shared" si="3"/>
        <v>0.75324280502634866</v>
      </c>
    </row>
    <row r="23" spans="1:9" x14ac:dyDescent="0.25">
      <c r="A23" s="13" t="s">
        <v>23</v>
      </c>
      <c r="B23" s="14">
        <v>2299.6699999999996</v>
      </c>
      <c r="C23" s="14">
        <v>2713.7899999999986</v>
      </c>
      <c r="D23" s="14">
        <v>6719.0897000000004</v>
      </c>
      <c r="E23" s="14">
        <v>6687.0586000000003</v>
      </c>
      <c r="F23" s="26">
        <f t="shared" si="0"/>
        <v>0.34225916049312444</v>
      </c>
      <c r="G23" s="26">
        <f t="shared" si="1"/>
        <v>0.40582715994144247</v>
      </c>
      <c r="H23" s="14">
        <f t="shared" si="2"/>
        <v>414.11999999999898</v>
      </c>
      <c r="I23" s="26">
        <f t="shared" si="3"/>
        <v>0.18007801119290989</v>
      </c>
    </row>
    <row r="24" spans="1:9" x14ac:dyDescent="0.25">
      <c r="A24" s="13" t="s">
        <v>24</v>
      </c>
      <c r="B24" s="14">
        <v>3740.9399999999996</v>
      </c>
      <c r="C24" s="14">
        <v>4075.8600000000038</v>
      </c>
      <c r="D24" s="14">
        <v>8722.6996999999992</v>
      </c>
      <c r="E24" s="14">
        <v>8634.4624999999996</v>
      </c>
      <c r="F24" s="26">
        <f t="shared" si="0"/>
        <v>0.42887410190218977</v>
      </c>
      <c r="G24" s="26">
        <f t="shared" si="1"/>
        <v>0.4720455963529871</v>
      </c>
      <c r="H24" s="14">
        <f t="shared" si="2"/>
        <v>334.92000000000417</v>
      </c>
      <c r="I24" s="26">
        <f t="shared" si="3"/>
        <v>8.9528300373703962E-2</v>
      </c>
    </row>
    <row r="25" spans="1:9" x14ac:dyDescent="0.25">
      <c r="A25" s="16" t="s">
        <v>51</v>
      </c>
      <c r="B25" s="17">
        <f>SUM(B26:B28)</f>
        <v>3744.77</v>
      </c>
      <c r="C25" s="17">
        <f>SUM(C26:C28)</f>
        <v>3616.1200000000008</v>
      </c>
      <c r="D25" s="17">
        <v>6763.6243000000004</v>
      </c>
      <c r="E25" s="17">
        <v>6737.7255000000005</v>
      </c>
      <c r="F25" s="25">
        <f t="shared" si="0"/>
        <v>0.55366321869770319</v>
      </c>
      <c r="G25" s="25">
        <f t="shared" si="1"/>
        <v>0.53669743595223651</v>
      </c>
      <c r="H25" s="17">
        <f t="shared" si="2"/>
        <v>-128.64999999999918</v>
      </c>
      <c r="I25" s="25">
        <f t="shared" si="3"/>
        <v>-3.4354579854036227E-2</v>
      </c>
    </row>
    <row r="26" spans="1:9" x14ac:dyDescent="0.25">
      <c r="A26" s="13" t="s">
        <v>25</v>
      </c>
      <c r="B26" s="14">
        <v>124.76</v>
      </c>
      <c r="C26" s="14">
        <v>123.37</v>
      </c>
      <c r="D26" s="14">
        <v>97.375100000000003</v>
      </c>
      <c r="E26" s="14">
        <v>97.375</v>
      </c>
      <c r="F26" s="26">
        <f t="shared" si="0"/>
        <v>1.2812310333956012</v>
      </c>
      <c r="G26" s="26">
        <f t="shared" si="1"/>
        <v>1.2669576379974326</v>
      </c>
      <c r="H26" s="14">
        <f t="shared" si="2"/>
        <v>-1.3900000000000006</v>
      </c>
      <c r="I26" s="26">
        <f t="shared" si="3"/>
        <v>-1.1141391471625517E-2</v>
      </c>
    </row>
    <row r="27" spans="1:9" x14ac:dyDescent="0.25">
      <c r="A27" s="13" t="s">
        <v>26</v>
      </c>
      <c r="B27" s="14">
        <v>1.8</v>
      </c>
      <c r="C27" s="14">
        <v>1.73</v>
      </c>
      <c r="D27" s="14">
        <v>15.6378</v>
      </c>
      <c r="E27" s="14">
        <v>15.6363</v>
      </c>
      <c r="F27" s="26">
        <f t="shared" si="0"/>
        <v>0.1151057054061313</v>
      </c>
      <c r="G27" s="26">
        <f t="shared" si="1"/>
        <v>0.11063998516273031</v>
      </c>
      <c r="H27" s="14">
        <f t="shared" si="2"/>
        <v>-7.0000000000000062E-2</v>
      </c>
      <c r="I27" s="26">
        <f t="shared" si="3"/>
        <v>-3.8888888888888973E-2</v>
      </c>
    </row>
    <row r="28" spans="1:9" x14ac:dyDescent="0.25">
      <c r="A28" s="13" t="s">
        <v>28</v>
      </c>
      <c r="B28" s="14">
        <v>3618.21</v>
      </c>
      <c r="C28" s="14">
        <v>3491.0200000000009</v>
      </c>
      <c r="D28" s="14">
        <v>6650.6113999999998</v>
      </c>
      <c r="E28" s="14">
        <v>6624.7142000000003</v>
      </c>
      <c r="F28" s="26">
        <f t="shared" si="0"/>
        <v>0.54404171021028236</v>
      </c>
      <c r="G28" s="26">
        <f t="shared" si="1"/>
        <v>0.526969148344543</v>
      </c>
      <c r="H28" s="14">
        <f t="shared" si="2"/>
        <v>-127.18999999999915</v>
      </c>
      <c r="I28" s="26">
        <f t="shared" si="3"/>
        <v>-3.5152741272618027E-2</v>
      </c>
    </row>
    <row r="29" spans="1:9" x14ac:dyDescent="0.25">
      <c r="A29" s="16" t="s">
        <v>54</v>
      </c>
      <c r="B29" s="17">
        <f>B30</f>
        <v>3.66</v>
      </c>
      <c r="C29" s="17">
        <f>SUM(C30)</f>
        <v>3.4699999999999998</v>
      </c>
      <c r="D29" s="17"/>
      <c r="E29" s="17"/>
      <c r="F29" s="25" t="str">
        <f t="shared" si="0"/>
        <v/>
      </c>
      <c r="G29" s="25" t="str">
        <f t="shared" si="1"/>
        <v/>
      </c>
      <c r="H29" s="17">
        <f t="shared" si="2"/>
        <v>-0.19000000000000039</v>
      </c>
      <c r="I29" s="25">
        <f t="shared" si="3"/>
        <v>-5.1912568306010987E-2</v>
      </c>
    </row>
    <row r="30" spans="1:9" x14ac:dyDescent="0.25">
      <c r="A30" s="13" t="s">
        <v>43</v>
      </c>
      <c r="B30" s="14">
        <v>3.66</v>
      </c>
      <c r="C30" s="14">
        <v>3.4699999999999998</v>
      </c>
      <c r="D30" s="14"/>
      <c r="E30" s="14"/>
      <c r="F30" s="26" t="str">
        <f t="shared" si="0"/>
        <v/>
      </c>
      <c r="G30" s="26" t="str">
        <f t="shared" si="1"/>
        <v/>
      </c>
      <c r="H30" s="14">
        <f t="shared" si="2"/>
        <v>-0.19000000000000039</v>
      </c>
      <c r="I30" s="26">
        <f t="shared" si="3"/>
        <v>-5.1912568306010987E-2</v>
      </c>
    </row>
    <row r="31" spans="1:9" x14ac:dyDescent="0.25">
      <c r="A31" s="16" t="s">
        <v>75</v>
      </c>
      <c r="B31" s="17">
        <f>B32</f>
        <v>1624.22</v>
      </c>
      <c r="C31" s="17">
        <f>C32</f>
        <v>2038.2100000000003</v>
      </c>
      <c r="D31" s="17">
        <v>14257.018099999999</v>
      </c>
      <c r="E31" s="17">
        <v>14489.3369</v>
      </c>
      <c r="F31" s="25">
        <f t="shared" si="0"/>
        <v>0.1139242433871919</v>
      </c>
      <c r="G31" s="25">
        <f t="shared" si="1"/>
        <v>0.14066965341940529</v>
      </c>
      <c r="H31" s="17">
        <f t="shared" si="2"/>
        <v>413.99000000000024</v>
      </c>
      <c r="I31" s="25">
        <f t="shared" si="3"/>
        <v>0.25488542192560137</v>
      </c>
    </row>
    <row r="32" spans="1:9" x14ac:dyDescent="0.25">
      <c r="A32" s="13" t="s">
        <v>76</v>
      </c>
      <c r="B32" s="14">
        <v>1624.22</v>
      </c>
      <c r="C32" s="14">
        <v>2038.2100000000003</v>
      </c>
      <c r="D32" s="14">
        <v>14257.018099999999</v>
      </c>
      <c r="E32" s="14">
        <v>14489.3369</v>
      </c>
      <c r="F32" s="26">
        <f t="shared" si="0"/>
        <v>0.1139242433871919</v>
      </c>
      <c r="G32" s="26">
        <f t="shared" si="1"/>
        <v>0.14066965341940529</v>
      </c>
      <c r="H32" s="14">
        <f t="shared" si="2"/>
        <v>413.99000000000024</v>
      </c>
      <c r="I32" s="26">
        <f t="shared" si="3"/>
        <v>0.25488542192560137</v>
      </c>
    </row>
    <row r="33" spans="1:19" x14ac:dyDescent="0.25">
      <c r="A33" s="16" t="s">
        <v>56</v>
      </c>
      <c r="B33" s="17">
        <f>B34</f>
        <v>712.7600000000001</v>
      </c>
      <c r="C33" s="17">
        <f>C34</f>
        <v>734.82</v>
      </c>
      <c r="D33" s="17">
        <v>1781.0922</v>
      </c>
      <c r="E33" s="17">
        <v>1764.9068</v>
      </c>
      <c r="F33" s="25">
        <f t="shared" si="0"/>
        <v>0.40018141677337088</v>
      </c>
      <c r="G33" s="25">
        <f t="shared" si="1"/>
        <v>0.41635059709668526</v>
      </c>
      <c r="H33" s="17">
        <f t="shared" si="2"/>
        <v>22.059999999999945</v>
      </c>
      <c r="I33" s="25">
        <f t="shared" si="3"/>
        <v>3.0950109433750317E-2</v>
      </c>
    </row>
    <row r="34" spans="1:19" x14ac:dyDescent="0.25">
      <c r="A34" s="13" t="s">
        <v>46</v>
      </c>
      <c r="B34" s="14">
        <v>712.7600000000001</v>
      </c>
      <c r="C34" s="14">
        <v>734.82</v>
      </c>
      <c r="D34" s="14">
        <v>1781.0922</v>
      </c>
      <c r="E34" s="14">
        <v>1764.9068</v>
      </c>
      <c r="F34" s="26">
        <f t="shared" si="0"/>
        <v>0.40018141677337088</v>
      </c>
      <c r="G34" s="26">
        <f t="shared" si="1"/>
        <v>0.41635059709668526</v>
      </c>
      <c r="H34" s="14">
        <f t="shared" si="2"/>
        <v>22.059999999999945</v>
      </c>
      <c r="I34" s="26">
        <f t="shared" si="3"/>
        <v>3.0950109433750317E-2</v>
      </c>
    </row>
    <row r="35" spans="1:19" x14ac:dyDescent="0.25">
      <c r="A35" s="24" t="s">
        <v>59</v>
      </c>
      <c r="B35" s="19">
        <v>13200.529999999999</v>
      </c>
      <c r="C35" s="19">
        <f>SUM(C9+C18+C21+C25+C29+C31+C33)</f>
        <v>14371.140000000003</v>
      </c>
      <c r="D35" s="19">
        <v>41376.364699999998</v>
      </c>
      <c r="E35" s="19">
        <v>41307.164800000013</v>
      </c>
      <c r="F35" s="27">
        <f t="shared" si="0"/>
        <v>0.31903551932874374</v>
      </c>
      <c r="G35" s="27">
        <f t="shared" si="1"/>
        <v>0.34790913560835818</v>
      </c>
      <c r="H35" s="19">
        <f t="shared" si="2"/>
        <v>1170.6100000000042</v>
      </c>
      <c r="I35" s="27">
        <f t="shared" si="3"/>
        <v>8.867901516075527E-2</v>
      </c>
    </row>
    <row r="36" spans="1:19" x14ac:dyDescent="0.25">
      <c r="A36" t="s">
        <v>96</v>
      </c>
    </row>
    <row r="38" spans="1:19" ht="18.75" x14ac:dyDescent="0.3">
      <c r="A38" s="306" t="s">
        <v>77</v>
      </c>
      <c r="B38" s="306"/>
      <c r="D38" s="3"/>
      <c r="E38" s="2"/>
      <c r="F38" s="5"/>
    </row>
    <row r="39" spans="1:19" ht="33" customHeight="1" x14ac:dyDescent="0.25">
      <c r="A39" s="299" t="s">
        <v>2</v>
      </c>
      <c r="B39" s="299" t="s">
        <v>235</v>
      </c>
      <c r="C39" s="299"/>
      <c r="D39" s="300" t="s">
        <v>95</v>
      </c>
      <c r="E39" s="300"/>
      <c r="F39" s="300" t="s">
        <v>238</v>
      </c>
      <c r="G39" s="300"/>
      <c r="H39" s="300" t="s">
        <v>237</v>
      </c>
      <c r="I39" s="300"/>
      <c r="K39" s="296" t="s">
        <v>276</v>
      </c>
      <c r="L39" s="297"/>
      <c r="O39" s="266"/>
      <c r="P39" s="296" t="s">
        <v>265</v>
      </c>
    </row>
    <row r="40" spans="1:19" ht="45" x14ac:dyDescent="0.25">
      <c r="A40" s="299"/>
      <c r="B40" s="57">
        <v>2019</v>
      </c>
      <c r="C40" s="58">
        <v>2020</v>
      </c>
      <c r="D40" s="57">
        <v>2019</v>
      </c>
      <c r="E40" s="57">
        <v>2020</v>
      </c>
      <c r="F40" s="58">
        <v>2019</v>
      </c>
      <c r="G40" s="58">
        <v>2020</v>
      </c>
      <c r="H40" s="57" t="s">
        <v>4</v>
      </c>
      <c r="I40" s="59" t="s">
        <v>5</v>
      </c>
      <c r="L40" s="290" t="s">
        <v>240</v>
      </c>
      <c r="M40" s="290" t="s">
        <v>302</v>
      </c>
      <c r="N40" s="291" t="s">
        <v>269</v>
      </c>
      <c r="O40" s="265"/>
      <c r="Q40" s="294" t="s">
        <v>248</v>
      </c>
      <c r="R40" s="294" t="s">
        <v>240</v>
      </c>
      <c r="S40" s="295" t="s">
        <v>279</v>
      </c>
    </row>
    <row r="41" spans="1:19" x14ac:dyDescent="0.25">
      <c r="A41" s="60" t="s">
        <v>49</v>
      </c>
      <c r="B41" s="61">
        <f>SUM(B42:B47)</f>
        <v>105.4</v>
      </c>
      <c r="C41" s="61">
        <f>SUM(C42:C47)</f>
        <v>100.14</v>
      </c>
      <c r="D41" s="61">
        <v>36.371700000000004</v>
      </c>
      <c r="E41" s="61">
        <v>36.387799999999999</v>
      </c>
      <c r="F41" s="62">
        <f>IFERROR(B41/D41,"")</f>
        <v>2.8978574001215227</v>
      </c>
      <c r="G41" s="62">
        <f>IFERROR(C41/E41,"")</f>
        <v>2.7520212818582053</v>
      </c>
      <c r="H41" s="61">
        <f>IFERROR(C41-B41,"")</f>
        <v>-5.2600000000000051</v>
      </c>
      <c r="I41" s="62">
        <f>IFERROR((C41/B41)-1,"")</f>
        <v>-4.9905123339658464E-2</v>
      </c>
      <c r="K41" s="292" t="s">
        <v>60</v>
      </c>
      <c r="L41" s="162">
        <f>C48</f>
        <v>98.739999999999966</v>
      </c>
      <c r="M41" s="162">
        <f>E48</f>
        <v>202.92849999999999</v>
      </c>
      <c r="N41" s="124">
        <f>L41/M41</f>
        <v>0.48657532086424515</v>
      </c>
      <c r="P41" s="293" t="s">
        <v>60</v>
      </c>
      <c r="Q41" s="162">
        <f>B48</f>
        <v>85.75</v>
      </c>
      <c r="R41" s="162">
        <f>C48</f>
        <v>98.739999999999966</v>
      </c>
      <c r="S41" s="165">
        <f>R41/Q41-1</f>
        <v>0.15148688046647196</v>
      </c>
    </row>
    <row r="42" spans="1:19" x14ac:dyDescent="0.25">
      <c r="A42" s="13" t="s">
        <v>11</v>
      </c>
      <c r="B42" s="14">
        <v>2.31</v>
      </c>
      <c r="C42" s="14">
        <v>1.96</v>
      </c>
      <c r="D42" s="14">
        <v>7.1767000000000003</v>
      </c>
      <c r="E42" s="14">
        <v>7.1768000000000001</v>
      </c>
      <c r="F42" s="26">
        <f t="shared" ref="F42:F62" si="6">IFERROR(B42/D42,"")</f>
        <v>0.32187495645630998</v>
      </c>
      <c r="G42" s="26">
        <f t="shared" ref="G42:G62" si="7">IFERROR(C42/E42,"")</f>
        <v>0.27310221825883402</v>
      </c>
      <c r="H42" s="14">
        <f t="shared" ref="H42:H62" si="8">IFERROR(C42-B42,"")</f>
        <v>-0.35000000000000009</v>
      </c>
      <c r="I42" s="26">
        <f t="shared" ref="I42:I62" si="9">IFERROR((C42/B42)-1,"")</f>
        <v>-0.1515151515151516</v>
      </c>
      <c r="K42" s="292" t="s">
        <v>51</v>
      </c>
      <c r="L42" s="162">
        <f>C52</f>
        <v>420.49000000000007</v>
      </c>
      <c r="M42" s="162">
        <f>E52</f>
        <v>825.59040000000005</v>
      </c>
      <c r="N42" s="124">
        <f t="shared" ref="N42:N45" si="10">L42/M42</f>
        <v>0.50932036031426731</v>
      </c>
      <c r="P42" s="293" t="s">
        <v>51</v>
      </c>
      <c r="Q42" s="162">
        <f>B52</f>
        <v>415.03</v>
      </c>
      <c r="R42" s="162">
        <f>C52</f>
        <v>420.49000000000007</v>
      </c>
      <c r="S42" s="165">
        <f t="shared" ref="S42:S45" si="11">R42/Q42-1</f>
        <v>1.3155675493337959E-2</v>
      </c>
    </row>
    <row r="43" spans="1:19" x14ac:dyDescent="0.25">
      <c r="A43" s="13" t="s">
        <v>12</v>
      </c>
      <c r="B43" s="14">
        <v>4.34</v>
      </c>
      <c r="C43" s="14">
        <v>0.19</v>
      </c>
      <c r="D43" s="14"/>
      <c r="E43" s="14"/>
      <c r="F43" s="26" t="str">
        <f t="shared" si="6"/>
        <v/>
      </c>
      <c r="G43" s="26" t="str">
        <f t="shared" si="7"/>
        <v/>
      </c>
      <c r="H43" s="14">
        <f t="shared" si="8"/>
        <v>-4.1499999999999995</v>
      </c>
      <c r="I43" s="26">
        <f t="shared" si="9"/>
        <v>-0.95622119815668205</v>
      </c>
      <c r="K43" s="292" t="s">
        <v>75</v>
      </c>
      <c r="L43" s="164">
        <f>C58</f>
        <v>17.899999999999999</v>
      </c>
      <c r="M43" s="164">
        <f>E58</f>
        <v>115.0562</v>
      </c>
      <c r="N43" s="124">
        <f t="shared" si="10"/>
        <v>0.15557614452763083</v>
      </c>
      <c r="P43" s="293" t="s">
        <v>75</v>
      </c>
      <c r="Q43" s="164">
        <f>B58</f>
        <v>14.56</v>
      </c>
      <c r="R43" s="164">
        <f>C58</f>
        <v>17.899999999999999</v>
      </c>
      <c r="S43" s="165">
        <f t="shared" si="11"/>
        <v>0.22939560439560425</v>
      </c>
    </row>
    <row r="44" spans="1:19" x14ac:dyDescent="0.25">
      <c r="A44" s="13" t="s">
        <v>13</v>
      </c>
      <c r="B44" s="14">
        <v>0.02</v>
      </c>
      <c r="C44" s="14">
        <v>0.02</v>
      </c>
      <c r="D44" s="14"/>
      <c r="E44" s="14"/>
      <c r="F44" s="26" t="str">
        <f t="shared" si="6"/>
        <v/>
      </c>
      <c r="G44" s="26" t="str">
        <f t="shared" si="7"/>
        <v/>
      </c>
      <c r="H44" s="14">
        <f t="shared" si="8"/>
        <v>0</v>
      </c>
      <c r="I44" s="26">
        <f t="shared" si="9"/>
        <v>0</v>
      </c>
      <c r="K44" s="292" t="s">
        <v>49</v>
      </c>
      <c r="L44" s="162">
        <f>C41</f>
        <v>100.14</v>
      </c>
      <c r="M44" s="162">
        <f>E41</f>
        <v>36.387799999999999</v>
      </c>
      <c r="N44" s="124">
        <f t="shared" si="10"/>
        <v>2.7520212818582053</v>
      </c>
      <c r="P44" s="293" t="s">
        <v>49</v>
      </c>
      <c r="Q44" s="162">
        <f>B41</f>
        <v>105.4</v>
      </c>
      <c r="R44" s="162">
        <f>C41</f>
        <v>100.14</v>
      </c>
      <c r="S44" s="165">
        <f t="shared" si="11"/>
        <v>-4.9905123339658464E-2</v>
      </c>
    </row>
    <row r="45" spans="1:19" x14ac:dyDescent="0.25">
      <c r="A45" s="13" t="s">
        <v>14</v>
      </c>
      <c r="B45" s="14">
        <v>2.25</v>
      </c>
      <c r="C45" s="14">
        <v>0.88</v>
      </c>
      <c r="D45" s="14">
        <v>29.195</v>
      </c>
      <c r="E45" s="14">
        <v>29.210999999999999</v>
      </c>
      <c r="F45" s="26">
        <f t="shared" si="6"/>
        <v>7.7067991094365476E-2</v>
      </c>
      <c r="G45" s="26">
        <f t="shared" si="7"/>
        <v>3.0125637602273117E-2</v>
      </c>
      <c r="H45" s="14">
        <f t="shared" si="8"/>
        <v>-1.37</v>
      </c>
      <c r="I45" s="26">
        <f t="shared" si="9"/>
        <v>-0.60888888888888881</v>
      </c>
      <c r="K45" s="292" t="s">
        <v>56</v>
      </c>
      <c r="L45" s="162">
        <f>C60</f>
        <v>78.29000000000002</v>
      </c>
      <c r="M45" s="162">
        <f>E60</f>
        <v>51.933100000000003</v>
      </c>
      <c r="N45" s="124">
        <f t="shared" si="10"/>
        <v>1.5075164009080917</v>
      </c>
      <c r="P45" s="293" t="s">
        <v>56</v>
      </c>
      <c r="Q45" s="162">
        <f>B60</f>
        <v>74.97999999999999</v>
      </c>
      <c r="R45" s="162">
        <f>C60</f>
        <v>78.29000000000002</v>
      </c>
      <c r="S45" s="165">
        <f t="shared" si="11"/>
        <v>4.4145105361430126E-2</v>
      </c>
    </row>
    <row r="46" spans="1:19" x14ac:dyDescent="0.25">
      <c r="A46" s="13" t="s">
        <v>15</v>
      </c>
      <c r="B46" s="14">
        <v>93.06</v>
      </c>
      <c r="C46" s="14">
        <v>93.06</v>
      </c>
      <c r="D46" s="14"/>
      <c r="E46" s="14"/>
      <c r="F46" s="26" t="str">
        <f t="shared" si="6"/>
        <v/>
      </c>
      <c r="G46" s="26" t="str">
        <f t="shared" si="7"/>
        <v/>
      </c>
      <c r="H46" s="14">
        <f t="shared" si="8"/>
        <v>0</v>
      </c>
      <c r="I46" s="26">
        <f t="shared" si="9"/>
        <v>0</v>
      </c>
    </row>
    <row r="47" spans="1:19" x14ac:dyDescent="0.25">
      <c r="A47" s="13" t="s">
        <v>17</v>
      </c>
      <c r="B47" s="14">
        <v>3.42</v>
      </c>
      <c r="C47" s="14">
        <v>4.03</v>
      </c>
      <c r="D47" s="14"/>
      <c r="E47" s="14"/>
      <c r="F47" s="26" t="str">
        <f t="shared" si="6"/>
        <v/>
      </c>
      <c r="G47" s="26" t="str">
        <f t="shared" si="7"/>
        <v/>
      </c>
      <c r="H47" s="14">
        <f t="shared" si="8"/>
        <v>0.61000000000000032</v>
      </c>
      <c r="I47" s="26">
        <f t="shared" si="9"/>
        <v>0.17836257309941539</v>
      </c>
    </row>
    <row r="48" spans="1:19" x14ac:dyDescent="0.25">
      <c r="A48" s="60" t="s">
        <v>60</v>
      </c>
      <c r="B48" s="61">
        <f>SUM(B49:B51)</f>
        <v>85.75</v>
      </c>
      <c r="C48" s="61">
        <f>SUM(C49:C51)</f>
        <v>98.739999999999966</v>
      </c>
      <c r="D48" s="61">
        <v>185.64869999999999</v>
      </c>
      <c r="E48" s="61">
        <v>202.92849999999999</v>
      </c>
      <c r="F48" s="62">
        <f t="shared" si="6"/>
        <v>0.46189388883412597</v>
      </c>
      <c r="G48" s="62">
        <f t="shared" si="7"/>
        <v>0.48657532086424515</v>
      </c>
      <c r="H48" s="61">
        <f t="shared" si="8"/>
        <v>12.989999999999966</v>
      </c>
      <c r="I48" s="62">
        <f t="shared" si="9"/>
        <v>0.15148688046647196</v>
      </c>
    </row>
    <row r="49" spans="1:9" x14ac:dyDescent="0.25">
      <c r="A49" s="13" t="s">
        <v>22</v>
      </c>
      <c r="B49" s="14">
        <v>16.060000000000002</v>
      </c>
      <c r="C49" s="14">
        <v>20.719999999999995</v>
      </c>
      <c r="D49" s="14">
        <v>16.7562</v>
      </c>
      <c r="E49" s="14">
        <v>29.8721</v>
      </c>
      <c r="F49" s="26">
        <f t="shared" si="6"/>
        <v>0.9584512001527794</v>
      </c>
      <c r="G49" s="26">
        <f t="shared" si="7"/>
        <v>0.693623816203079</v>
      </c>
      <c r="H49" s="14">
        <f t="shared" si="8"/>
        <v>4.659999999999993</v>
      </c>
      <c r="I49" s="26">
        <f t="shared" si="9"/>
        <v>0.29016189290161853</v>
      </c>
    </row>
    <row r="50" spans="1:9" x14ac:dyDescent="0.25">
      <c r="A50" s="13" t="s">
        <v>23</v>
      </c>
      <c r="B50" s="14">
        <v>5.01</v>
      </c>
      <c r="C50" s="14">
        <v>10.479999999999997</v>
      </c>
      <c r="D50" s="14">
        <v>69.308800000000005</v>
      </c>
      <c r="E50" s="14">
        <v>74.331699999999998</v>
      </c>
      <c r="F50" s="26">
        <f t="shared" si="6"/>
        <v>7.228519322221709E-2</v>
      </c>
      <c r="G50" s="26">
        <f t="shared" si="7"/>
        <v>0.14098964506394979</v>
      </c>
      <c r="H50" s="14">
        <f t="shared" si="8"/>
        <v>5.4699999999999971</v>
      </c>
      <c r="I50" s="26">
        <f t="shared" si="9"/>
        <v>1.0918163672654684</v>
      </c>
    </row>
    <row r="51" spans="1:9" x14ac:dyDescent="0.25">
      <c r="A51" s="13" t="s">
        <v>24</v>
      </c>
      <c r="B51" s="14">
        <v>64.679999999999993</v>
      </c>
      <c r="C51" s="14">
        <v>67.539999999999978</v>
      </c>
      <c r="D51" s="14">
        <v>99.583699999999993</v>
      </c>
      <c r="E51" s="14">
        <v>98.724699999999999</v>
      </c>
      <c r="F51" s="26">
        <f t="shared" si="6"/>
        <v>0.64950388467188902</v>
      </c>
      <c r="G51" s="26">
        <f t="shared" si="7"/>
        <v>0.68412464155373454</v>
      </c>
      <c r="H51" s="14">
        <f t="shared" si="8"/>
        <v>2.8599999999999852</v>
      </c>
      <c r="I51" s="26">
        <f t="shared" si="9"/>
        <v>4.4217687074829648E-2</v>
      </c>
    </row>
    <row r="52" spans="1:9" x14ac:dyDescent="0.25">
      <c r="A52" s="60" t="s">
        <v>51</v>
      </c>
      <c r="B52" s="61">
        <f>SUM(B53:B55)</f>
        <v>415.03</v>
      </c>
      <c r="C52" s="61">
        <f>SUM(C53:C55)</f>
        <v>420.49000000000007</v>
      </c>
      <c r="D52" s="61">
        <v>751.34540000000004</v>
      </c>
      <c r="E52" s="61">
        <v>825.59040000000005</v>
      </c>
      <c r="F52" s="62">
        <f t="shared" si="6"/>
        <v>0.55238243289970224</v>
      </c>
      <c r="G52" s="62">
        <f t="shared" si="7"/>
        <v>0.50932036031426731</v>
      </c>
      <c r="H52" s="61">
        <f t="shared" si="8"/>
        <v>5.4600000000000932</v>
      </c>
      <c r="I52" s="62">
        <f t="shared" si="9"/>
        <v>1.3155675493337959E-2</v>
      </c>
    </row>
    <row r="53" spans="1:9" x14ac:dyDescent="0.25">
      <c r="A53" s="13" t="s">
        <v>25</v>
      </c>
      <c r="B53" s="14">
        <v>2.86</v>
      </c>
      <c r="C53" s="14">
        <v>0.71</v>
      </c>
      <c r="D53" s="14"/>
      <c r="E53" s="14"/>
      <c r="F53" s="26" t="str">
        <f t="shared" si="6"/>
        <v/>
      </c>
      <c r="G53" s="26" t="str">
        <f t="shared" si="7"/>
        <v/>
      </c>
      <c r="H53" s="14">
        <f t="shared" si="8"/>
        <v>-2.15</v>
      </c>
      <c r="I53" s="26">
        <f t="shared" si="9"/>
        <v>-0.75174825174825177</v>
      </c>
    </row>
    <row r="54" spans="1:9" x14ac:dyDescent="0.25">
      <c r="A54" s="13" t="s">
        <v>27</v>
      </c>
      <c r="B54" s="14">
        <v>0.77</v>
      </c>
      <c r="C54" s="14">
        <v>0.77</v>
      </c>
      <c r="D54" s="14"/>
      <c r="E54" s="14"/>
      <c r="F54" s="26" t="str">
        <f t="shared" si="6"/>
        <v/>
      </c>
      <c r="G54" s="26" t="str">
        <f t="shared" si="7"/>
        <v/>
      </c>
      <c r="H54" s="14">
        <f t="shared" si="8"/>
        <v>0</v>
      </c>
      <c r="I54" s="26">
        <f t="shared" si="9"/>
        <v>0</v>
      </c>
    </row>
    <row r="55" spans="1:9" x14ac:dyDescent="0.25">
      <c r="A55" s="13" t="s">
        <v>28</v>
      </c>
      <c r="B55" s="14">
        <v>411.4</v>
      </c>
      <c r="C55" s="14">
        <v>419.01000000000005</v>
      </c>
      <c r="D55" s="14">
        <v>751.34540000000004</v>
      </c>
      <c r="E55" s="14">
        <v>825.59040000000005</v>
      </c>
      <c r="F55" s="26">
        <f t="shared" si="6"/>
        <v>0.54755109966734339</v>
      </c>
      <c r="G55" s="26">
        <f t="shared" si="7"/>
        <v>0.50752770381050949</v>
      </c>
      <c r="H55" s="14">
        <f t="shared" si="8"/>
        <v>7.6100000000000705</v>
      </c>
      <c r="I55" s="26">
        <f t="shared" si="9"/>
        <v>1.8497812348079901E-2</v>
      </c>
    </row>
    <row r="56" spans="1:9" x14ac:dyDescent="0.25">
      <c r="A56" s="60" t="s">
        <v>54</v>
      </c>
      <c r="B56" s="61"/>
      <c r="C56" s="61">
        <f>C57</f>
        <v>0.39</v>
      </c>
      <c r="D56" s="61"/>
      <c r="E56" s="61"/>
      <c r="F56" s="62" t="str">
        <f t="shared" si="6"/>
        <v/>
      </c>
      <c r="G56" s="62" t="str">
        <f t="shared" si="7"/>
        <v/>
      </c>
      <c r="H56" s="61">
        <f t="shared" si="8"/>
        <v>0.39</v>
      </c>
      <c r="I56" s="62" t="str">
        <f t="shared" si="9"/>
        <v/>
      </c>
    </row>
    <row r="57" spans="1:9" x14ac:dyDescent="0.25">
      <c r="A57" s="13" t="s">
        <v>44</v>
      </c>
      <c r="B57" s="14"/>
      <c r="C57" s="14">
        <v>0.39</v>
      </c>
      <c r="D57" s="14"/>
      <c r="E57" s="14"/>
      <c r="F57" s="26" t="str">
        <f t="shared" si="6"/>
        <v/>
      </c>
      <c r="G57" s="26" t="str">
        <f t="shared" si="7"/>
        <v/>
      </c>
      <c r="H57" s="14">
        <f t="shared" si="8"/>
        <v>0.39</v>
      </c>
      <c r="I57" s="26" t="str">
        <f t="shared" si="9"/>
        <v/>
      </c>
    </row>
    <row r="58" spans="1:9" x14ac:dyDescent="0.25">
      <c r="A58" s="60" t="s">
        <v>75</v>
      </c>
      <c r="B58" s="61">
        <f>B59</f>
        <v>14.56</v>
      </c>
      <c r="C58" s="61">
        <f>C59</f>
        <v>17.899999999999999</v>
      </c>
      <c r="D58" s="61">
        <v>236.46870000000001</v>
      </c>
      <c r="E58" s="61">
        <v>115.0562</v>
      </c>
      <c r="F58" s="62">
        <f t="shared" si="6"/>
        <v>6.1572630965535821E-2</v>
      </c>
      <c r="G58" s="62">
        <f t="shared" si="7"/>
        <v>0.15557614452763083</v>
      </c>
      <c r="H58" s="61">
        <f t="shared" si="8"/>
        <v>3.3399999999999981</v>
      </c>
      <c r="I58" s="62">
        <f t="shared" si="9"/>
        <v>0.22939560439560425</v>
      </c>
    </row>
    <row r="59" spans="1:9" x14ac:dyDescent="0.25">
      <c r="A59" s="13" t="s">
        <v>76</v>
      </c>
      <c r="B59" s="14">
        <v>14.56</v>
      </c>
      <c r="C59" s="14">
        <v>17.899999999999999</v>
      </c>
      <c r="D59" s="14">
        <v>236.46870000000001</v>
      </c>
      <c r="E59" s="14">
        <v>115.0562</v>
      </c>
      <c r="F59" s="26">
        <f t="shared" si="6"/>
        <v>6.1572630965535821E-2</v>
      </c>
      <c r="G59" s="26">
        <f t="shared" si="7"/>
        <v>0.15557614452763083</v>
      </c>
      <c r="H59" s="14">
        <f t="shared" si="8"/>
        <v>3.3399999999999981</v>
      </c>
      <c r="I59" s="26">
        <f t="shared" si="9"/>
        <v>0.22939560439560425</v>
      </c>
    </row>
    <row r="60" spans="1:9" x14ac:dyDescent="0.25">
      <c r="A60" s="60" t="s">
        <v>56</v>
      </c>
      <c r="B60" s="61">
        <f>B61</f>
        <v>74.97999999999999</v>
      </c>
      <c r="C60" s="61">
        <f>C61</f>
        <v>78.29000000000002</v>
      </c>
      <c r="D60" s="61">
        <v>51.922600000000003</v>
      </c>
      <c r="E60" s="61">
        <v>51.933100000000003</v>
      </c>
      <c r="F60" s="62">
        <f t="shared" si="6"/>
        <v>1.4440725233328067</v>
      </c>
      <c r="G60" s="62">
        <f t="shared" si="7"/>
        <v>1.5075164009080917</v>
      </c>
      <c r="H60" s="61">
        <f t="shared" si="8"/>
        <v>3.3100000000000307</v>
      </c>
      <c r="I60" s="62">
        <f t="shared" si="9"/>
        <v>4.4145105361430126E-2</v>
      </c>
    </row>
    <row r="61" spans="1:9" x14ac:dyDescent="0.25">
      <c r="A61" s="13" t="s">
        <v>46</v>
      </c>
      <c r="B61" s="14">
        <v>74.97999999999999</v>
      </c>
      <c r="C61" s="14">
        <v>78.29000000000002</v>
      </c>
      <c r="D61" s="14">
        <v>51.922600000000003</v>
      </c>
      <c r="E61" s="14">
        <v>51.933100000000003</v>
      </c>
      <c r="F61" s="26">
        <f t="shared" si="6"/>
        <v>1.4440725233328067</v>
      </c>
      <c r="G61" s="26">
        <f t="shared" si="7"/>
        <v>1.5075164009080917</v>
      </c>
      <c r="H61" s="14">
        <f t="shared" si="8"/>
        <v>3.3100000000000307</v>
      </c>
      <c r="I61" s="26">
        <f t="shared" si="9"/>
        <v>4.4145105361430126E-2</v>
      </c>
    </row>
    <row r="62" spans="1:9" x14ac:dyDescent="0.25">
      <c r="A62" s="68" t="s">
        <v>59</v>
      </c>
      <c r="B62" s="64">
        <v>695.71999999999991</v>
      </c>
      <c r="C62" s="64">
        <f>SUM(C41+C48+C52+C56+C58+C60)</f>
        <v>715.95</v>
      </c>
      <c r="D62" s="64">
        <v>1261.7571</v>
      </c>
      <c r="E62" s="64">
        <v>1231.896</v>
      </c>
      <c r="F62" s="65">
        <f t="shared" si="6"/>
        <v>0.55138980394879478</v>
      </c>
      <c r="G62" s="65">
        <f t="shared" si="7"/>
        <v>0.58117730717528104</v>
      </c>
      <c r="H62" s="64">
        <f t="shared" si="8"/>
        <v>20.230000000000132</v>
      </c>
      <c r="I62" s="65">
        <f t="shared" si="9"/>
        <v>2.9077789915483487E-2</v>
      </c>
    </row>
    <row r="63" spans="1:9" x14ac:dyDescent="0.25">
      <c r="A63" t="s">
        <v>96</v>
      </c>
    </row>
  </sheetData>
  <mergeCells count="12">
    <mergeCell ref="H7:I7"/>
    <mergeCell ref="A38:B38"/>
    <mergeCell ref="A39:A40"/>
    <mergeCell ref="B39:C39"/>
    <mergeCell ref="D39:E39"/>
    <mergeCell ref="F39:G39"/>
    <mergeCell ref="H39:I39"/>
    <mergeCell ref="A6:B6"/>
    <mergeCell ref="A7:A8"/>
    <mergeCell ref="B7:C7"/>
    <mergeCell ref="D7:E7"/>
    <mergeCell ref="F7:G7"/>
  </mergeCells>
  <conditionalFormatting sqref="H9:I35 H41:I62">
    <cfRule type="cellIs" dxfId="2" priority="1" operator="lessThan">
      <formula>0</formula>
    </cfRule>
  </conditionalFormatting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topLeftCell="D7" workbookViewId="0">
      <selection activeCell="M40" sqref="M40"/>
    </sheetView>
  </sheetViews>
  <sheetFormatPr baseColWidth="10" defaultRowHeight="15" x14ac:dyDescent="0.25"/>
  <cols>
    <col min="1" max="1" width="21.140625" customWidth="1"/>
    <col min="6" max="6" width="17.42578125" customWidth="1"/>
    <col min="7" max="7" width="15.140625" customWidth="1"/>
    <col min="8" max="8" width="12.140625" customWidth="1"/>
    <col min="13" max="13" width="13" customWidth="1"/>
    <col min="14" max="14" width="17.42578125" bestFit="1" customWidth="1"/>
  </cols>
  <sheetData>
    <row r="1" spans="1:19" x14ac:dyDescent="0.25">
      <c r="C1" s="2" t="s">
        <v>0</v>
      </c>
      <c r="D1" s="176" t="s">
        <v>1</v>
      </c>
      <c r="E1" s="2" t="s">
        <v>216</v>
      </c>
      <c r="F1" t="s">
        <v>227</v>
      </c>
    </row>
    <row r="2" spans="1:19" x14ac:dyDescent="0.25">
      <c r="C2" s="2"/>
      <c r="D2" s="5"/>
      <c r="E2" s="2"/>
      <c r="F2" t="s">
        <v>223</v>
      </c>
    </row>
    <row r="3" spans="1:19" x14ac:dyDescent="0.25">
      <c r="C3" s="2"/>
      <c r="D3" s="5"/>
      <c r="E3" s="2"/>
      <c r="F3" t="s">
        <v>222</v>
      </c>
    </row>
    <row r="4" spans="1:19" x14ac:dyDescent="0.25">
      <c r="F4" t="s">
        <v>229</v>
      </c>
    </row>
    <row r="5" spans="1:19" ht="18.75" x14ac:dyDescent="0.3">
      <c r="A5" s="56" t="s">
        <v>85</v>
      </c>
      <c r="B5" s="73"/>
      <c r="D5" s="3"/>
    </row>
    <row r="6" spans="1:19" ht="28.5" customHeight="1" x14ac:dyDescent="0.25">
      <c r="A6" s="301" t="s">
        <v>2</v>
      </c>
      <c r="B6" s="301" t="s">
        <v>235</v>
      </c>
      <c r="C6" s="301"/>
      <c r="D6" s="302" t="s">
        <v>3</v>
      </c>
      <c r="E6" s="302"/>
      <c r="F6" s="302" t="s">
        <v>236</v>
      </c>
      <c r="G6" s="302"/>
      <c r="H6" s="302" t="s">
        <v>237</v>
      </c>
      <c r="I6" s="302"/>
      <c r="K6" s="247" t="s">
        <v>276</v>
      </c>
      <c r="P6" s="247" t="s">
        <v>265</v>
      </c>
    </row>
    <row r="7" spans="1:19" ht="45" x14ac:dyDescent="0.25">
      <c r="A7" s="301"/>
      <c r="B7" s="11">
        <v>2019</v>
      </c>
      <c r="C7" s="10">
        <v>2020</v>
      </c>
      <c r="D7" s="11">
        <v>2019</v>
      </c>
      <c r="E7" s="11">
        <v>2020</v>
      </c>
      <c r="F7" s="10">
        <v>2019</v>
      </c>
      <c r="G7" s="10">
        <v>2020</v>
      </c>
      <c r="H7" s="11" t="s">
        <v>4</v>
      </c>
      <c r="I7" s="4" t="s">
        <v>5</v>
      </c>
      <c r="L7" s="285" t="s">
        <v>240</v>
      </c>
      <c r="M7" s="285" t="s">
        <v>278</v>
      </c>
      <c r="N7" s="286" t="s">
        <v>269</v>
      </c>
      <c r="O7" s="265"/>
      <c r="Q7" s="285" t="s">
        <v>248</v>
      </c>
      <c r="R7" s="285" t="s">
        <v>240</v>
      </c>
      <c r="S7" s="286" t="s">
        <v>279</v>
      </c>
    </row>
    <row r="8" spans="1:19" x14ac:dyDescent="0.25">
      <c r="A8" s="16" t="s">
        <v>49</v>
      </c>
      <c r="B8" s="17">
        <v>3689.4600000000009</v>
      </c>
      <c r="C8" s="17">
        <v>3814.6200000000003</v>
      </c>
      <c r="D8" s="17">
        <v>8792</v>
      </c>
      <c r="E8" s="17">
        <v>8891</v>
      </c>
      <c r="F8" s="25">
        <f>IFERROR(B8/D8,"")</f>
        <v>0.4196383075523204</v>
      </c>
      <c r="G8" s="25">
        <f>IFERROR(C8/E8,"")</f>
        <v>0.42904285232257344</v>
      </c>
      <c r="H8" s="17">
        <f>IFERROR(C8-B8,"")</f>
        <v>125.1599999999994</v>
      </c>
      <c r="I8" s="25">
        <f>IFERROR((C8/B8)-1,"")</f>
        <v>3.3923663625571088E-2</v>
      </c>
      <c r="K8" s="284" t="s">
        <v>67</v>
      </c>
      <c r="L8" s="162">
        <f>C42</f>
        <v>2410.4899999999998</v>
      </c>
      <c r="M8" s="162">
        <f>E42</f>
        <v>24990</v>
      </c>
      <c r="N8" s="124">
        <f>L8/M8</f>
        <v>9.6458183273309309E-2</v>
      </c>
      <c r="P8" s="284" t="s">
        <v>67</v>
      </c>
      <c r="Q8" s="162">
        <f>B42</f>
        <v>2521.9999999999991</v>
      </c>
      <c r="R8" s="162">
        <f>C42</f>
        <v>2410.4899999999998</v>
      </c>
      <c r="S8" s="124">
        <f>R8/Q8-1</f>
        <v>-4.4214908802537423E-2</v>
      </c>
    </row>
    <row r="9" spans="1:19" x14ac:dyDescent="0.25">
      <c r="A9" s="13" t="s">
        <v>11</v>
      </c>
      <c r="B9" s="14">
        <v>0.22000000000000003</v>
      </c>
      <c r="C9" s="14">
        <v>0.01</v>
      </c>
      <c r="D9" s="14">
        <v>69</v>
      </c>
      <c r="E9" s="14">
        <v>69</v>
      </c>
      <c r="F9" s="26">
        <f t="shared" ref="F9:F55" si="0">IFERROR(B9/D9,"")</f>
        <v>3.1884057971014496E-3</v>
      </c>
      <c r="G9" s="26">
        <f t="shared" ref="G9:G55" si="1">IFERROR(C9/E9,"")</f>
        <v>1.4492753623188405E-4</v>
      </c>
      <c r="H9" s="14">
        <f t="shared" ref="H9:H55" si="2">IFERROR(C9-B9,"")</f>
        <v>-0.21000000000000002</v>
      </c>
      <c r="I9" s="26">
        <f t="shared" ref="I9:I55" si="3">IFERROR((C9/B9)-1,"")</f>
        <v>-0.95454545454545459</v>
      </c>
      <c r="K9" s="284" t="s">
        <v>49</v>
      </c>
      <c r="L9" s="162">
        <f>C8</f>
        <v>3814.6200000000003</v>
      </c>
      <c r="M9" s="162">
        <f>E8</f>
        <v>8891</v>
      </c>
      <c r="N9" s="124">
        <f t="shared" ref="N9:N11" si="4">L9/M9</f>
        <v>0.42904285232257344</v>
      </c>
      <c r="P9" s="284" t="s">
        <v>49</v>
      </c>
      <c r="Q9" s="162">
        <f>B8</f>
        <v>3689.4600000000009</v>
      </c>
      <c r="R9" s="162">
        <f>C8</f>
        <v>3814.6200000000003</v>
      </c>
      <c r="S9" s="124">
        <f t="shared" ref="S9:S11" si="5">R9/Q9-1</f>
        <v>3.3923663625571088E-2</v>
      </c>
    </row>
    <row r="10" spans="1:19" x14ac:dyDescent="0.25">
      <c r="A10" s="13" t="s">
        <v>12</v>
      </c>
      <c r="B10" s="14">
        <v>4.62</v>
      </c>
      <c r="C10" s="14">
        <v>57.02</v>
      </c>
      <c r="D10" s="14">
        <v>357</v>
      </c>
      <c r="E10" s="14">
        <v>412</v>
      </c>
      <c r="F10" s="26">
        <f t="shared" si="0"/>
        <v>1.2941176470588235E-2</v>
      </c>
      <c r="G10" s="26">
        <f t="shared" si="1"/>
        <v>0.13839805825242718</v>
      </c>
      <c r="H10" s="14">
        <f t="shared" si="2"/>
        <v>52.400000000000006</v>
      </c>
      <c r="I10" s="26">
        <f t="shared" si="3"/>
        <v>11.341991341991342</v>
      </c>
      <c r="K10" s="284" t="s">
        <v>54</v>
      </c>
      <c r="L10" s="162">
        <f>C39</f>
        <v>3167.6299999999997</v>
      </c>
      <c r="M10" s="162">
        <f>E39</f>
        <v>2949</v>
      </c>
      <c r="N10" s="124">
        <f t="shared" si="4"/>
        <v>1.0741369955917259</v>
      </c>
      <c r="P10" s="284" t="s">
        <v>54</v>
      </c>
      <c r="Q10" s="162">
        <f>B39</f>
        <v>2643.5700000000006</v>
      </c>
      <c r="R10" s="162">
        <f>C39</f>
        <v>3167.6299999999997</v>
      </c>
      <c r="S10" s="124">
        <f t="shared" si="5"/>
        <v>0.19823950188570727</v>
      </c>
    </row>
    <row r="11" spans="1:19" x14ac:dyDescent="0.25">
      <c r="A11" s="13" t="s">
        <v>14</v>
      </c>
      <c r="B11" s="14">
        <v>51.800000000000004</v>
      </c>
      <c r="C11" s="14">
        <v>107.98000000000002</v>
      </c>
      <c r="D11" s="14">
        <v>160</v>
      </c>
      <c r="E11" s="14">
        <v>211</v>
      </c>
      <c r="F11" s="26">
        <f t="shared" si="0"/>
        <v>0.32375000000000004</v>
      </c>
      <c r="G11" s="26">
        <f t="shared" si="1"/>
        <v>0.5117535545023697</v>
      </c>
      <c r="H11" s="14">
        <f t="shared" si="2"/>
        <v>56.180000000000014</v>
      </c>
      <c r="I11" s="26">
        <f t="shared" si="3"/>
        <v>1.0845559845559847</v>
      </c>
      <c r="K11" s="284" t="s">
        <v>293</v>
      </c>
      <c r="L11" s="164">
        <f>C24</f>
        <v>257.86</v>
      </c>
      <c r="M11" s="164">
        <f>E24</f>
        <v>818</v>
      </c>
      <c r="N11" s="124">
        <f t="shared" si="4"/>
        <v>0.31523227383863084</v>
      </c>
      <c r="P11" s="284" t="s">
        <v>293</v>
      </c>
      <c r="Q11" s="164">
        <f>B24</f>
        <v>234.53999999999996</v>
      </c>
      <c r="R11" s="164">
        <f>C24</f>
        <v>257.86</v>
      </c>
      <c r="S11" s="124">
        <f t="shared" si="5"/>
        <v>9.9428668883772664E-2</v>
      </c>
    </row>
    <row r="12" spans="1:19" x14ac:dyDescent="0.25">
      <c r="A12" s="13" t="s">
        <v>15</v>
      </c>
      <c r="B12" s="14">
        <v>2167.0800000000004</v>
      </c>
      <c r="C12" s="14">
        <v>2153.0500000000002</v>
      </c>
      <c r="D12" s="14">
        <v>5000</v>
      </c>
      <c r="E12" s="14">
        <v>5000</v>
      </c>
      <c r="F12" s="26">
        <f t="shared" si="0"/>
        <v>0.43341600000000008</v>
      </c>
      <c r="G12" s="26">
        <f t="shared" si="1"/>
        <v>0.43061000000000005</v>
      </c>
      <c r="H12" s="14">
        <f t="shared" si="2"/>
        <v>-14.0300000000002</v>
      </c>
      <c r="I12" s="26">
        <f t="shared" si="3"/>
        <v>-6.4741495468557675E-3</v>
      </c>
      <c r="L12" s="162"/>
      <c r="M12" s="162"/>
      <c r="N12" s="165"/>
      <c r="Q12" s="162"/>
      <c r="R12" s="162"/>
      <c r="S12" s="165"/>
    </row>
    <row r="13" spans="1:19" x14ac:dyDescent="0.25">
      <c r="A13" s="13" t="s">
        <v>16</v>
      </c>
      <c r="B13" s="14">
        <v>5.1400000000000006</v>
      </c>
      <c r="C13" s="14">
        <v>5.27</v>
      </c>
      <c r="D13" s="14">
        <v>5</v>
      </c>
      <c r="E13" s="14">
        <v>8</v>
      </c>
      <c r="F13" s="26">
        <f t="shared" si="0"/>
        <v>1.028</v>
      </c>
      <c r="G13" s="26">
        <f t="shared" si="1"/>
        <v>0.65874999999999995</v>
      </c>
      <c r="H13" s="14">
        <f t="shared" si="2"/>
        <v>0.12999999999999901</v>
      </c>
      <c r="I13" s="26">
        <f t="shared" si="3"/>
        <v>2.5291828793774229E-2</v>
      </c>
    </row>
    <row r="14" spans="1:19" x14ac:dyDescent="0.25">
      <c r="A14" s="13" t="s">
        <v>17</v>
      </c>
      <c r="B14" s="14">
        <v>1386.1100000000008</v>
      </c>
      <c r="C14" s="14">
        <v>1413.9899999999998</v>
      </c>
      <c r="D14" s="14">
        <v>3114</v>
      </c>
      <c r="E14" s="14">
        <v>3112</v>
      </c>
      <c r="F14" s="26">
        <f t="shared" si="0"/>
        <v>0.4451220295439951</v>
      </c>
      <c r="G14" s="26">
        <f t="shared" si="1"/>
        <v>0.45436696658097681</v>
      </c>
      <c r="H14" s="14">
        <f t="shared" si="2"/>
        <v>27.879999999998972</v>
      </c>
      <c r="I14" s="26">
        <f t="shared" si="3"/>
        <v>2.0113843778631457E-2</v>
      </c>
    </row>
    <row r="15" spans="1:19" x14ac:dyDescent="0.25">
      <c r="A15" s="13" t="s">
        <v>18</v>
      </c>
      <c r="B15" s="14">
        <v>74.489999999999995</v>
      </c>
      <c r="C15" s="14">
        <v>77.3</v>
      </c>
      <c r="D15" s="14">
        <v>87</v>
      </c>
      <c r="E15" s="14">
        <v>79</v>
      </c>
      <c r="F15" s="26">
        <f t="shared" si="0"/>
        <v>0.85620689655172411</v>
      </c>
      <c r="G15" s="26">
        <f t="shared" si="1"/>
        <v>0.97848101265822784</v>
      </c>
      <c r="H15" s="14">
        <f t="shared" si="2"/>
        <v>2.8100000000000023</v>
      </c>
      <c r="I15" s="26">
        <f t="shared" si="3"/>
        <v>3.7723184320042957E-2</v>
      </c>
    </row>
    <row r="16" spans="1:19" x14ac:dyDescent="0.25">
      <c r="A16" s="16" t="s">
        <v>50</v>
      </c>
      <c r="B16" s="17"/>
      <c r="C16" s="17"/>
      <c r="D16" s="17">
        <v>620</v>
      </c>
      <c r="E16" s="17"/>
      <c r="F16" s="25">
        <f t="shared" si="0"/>
        <v>0</v>
      </c>
      <c r="G16" s="25" t="str">
        <f t="shared" si="1"/>
        <v/>
      </c>
      <c r="H16" s="17">
        <f t="shared" si="2"/>
        <v>0</v>
      </c>
      <c r="I16" s="25" t="str">
        <f t="shared" si="3"/>
        <v/>
      </c>
    </row>
    <row r="17" spans="1:9" x14ac:dyDescent="0.25">
      <c r="A17" s="72" t="s">
        <v>19</v>
      </c>
      <c r="B17" s="71"/>
      <c r="C17" s="71"/>
      <c r="D17" s="71">
        <v>93</v>
      </c>
      <c r="E17" s="71"/>
      <c r="F17" s="74">
        <f t="shared" si="0"/>
        <v>0</v>
      </c>
      <c r="G17" s="74" t="str">
        <f t="shared" si="1"/>
        <v/>
      </c>
      <c r="H17" s="71">
        <f t="shared" si="2"/>
        <v>0</v>
      </c>
      <c r="I17" s="74" t="str">
        <f t="shared" si="3"/>
        <v/>
      </c>
    </row>
    <row r="18" spans="1:9" x14ac:dyDescent="0.25">
      <c r="A18" s="72" t="s">
        <v>20</v>
      </c>
      <c r="B18" s="71"/>
      <c r="C18" s="71"/>
      <c r="D18" s="71">
        <v>123</v>
      </c>
      <c r="E18" s="71"/>
      <c r="F18" s="74">
        <f t="shared" si="0"/>
        <v>0</v>
      </c>
      <c r="G18" s="74" t="str">
        <f t="shared" si="1"/>
        <v/>
      </c>
      <c r="H18" s="71">
        <f t="shared" si="2"/>
        <v>0</v>
      </c>
      <c r="I18" s="74" t="str">
        <f t="shared" si="3"/>
        <v/>
      </c>
    </row>
    <row r="19" spans="1:9" x14ac:dyDescent="0.25">
      <c r="A19" s="72" t="s">
        <v>21</v>
      </c>
      <c r="B19" s="71"/>
      <c r="C19" s="71"/>
      <c r="D19" s="71">
        <v>404</v>
      </c>
      <c r="E19" s="71"/>
      <c r="F19" s="74">
        <f t="shared" si="0"/>
        <v>0</v>
      </c>
      <c r="G19" s="74" t="str">
        <f t="shared" si="1"/>
        <v/>
      </c>
      <c r="H19" s="71">
        <f t="shared" si="2"/>
        <v>0</v>
      </c>
      <c r="I19" s="74" t="str">
        <f t="shared" si="3"/>
        <v/>
      </c>
    </row>
    <row r="20" spans="1:9" x14ac:dyDescent="0.25">
      <c r="A20" s="16" t="s">
        <v>63</v>
      </c>
      <c r="B20" s="17">
        <v>22.919999999999998</v>
      </c>
      <c r="C20" s="17">
        <v>25.75</v>
      </c>
      <c r="D20" s="17"/>
      <c r="E20" s="17"/>
      <c r="F20" s="25" t="str">
        <f t="shared" si="0"/>
        <v/>
      </c>
      <c r="G20" s="25" t="str">
        <f t="shared" si="1"/>
        <v/>
      </c>
      <c r="H20" s="17">
        <f t="shared" si="2"/>
        <v>2.8300000000000018</v>
      </c>
      <c r="I20" s="25">
        <f t="shared" si="3"/>
        <v>0.12347294938917974</v>
      </c>
    </row>
    <row r="21" spans="1:9" x14ac:dyDescent="0.25">
      <c r="A21" s="13" t="s">
        <v>64</v>
      </c>
      <c r="B21" s="14">
        <v>22.919999999999998</v>
      </c>
      <c r="C21" s="14">
        <v>25.75</v>
      </c>
      <c r="D21" s="14"/>
      <c r="E21" s="14"/>
      <c r="F21" s="26" t="str">
        <f t="shared" si="0"/>
        <v/>
      </c>
      <c r="G21" s="26" t="str">
        <f t="shared" si="1"/>
        <v/>
      </c>
      <c r="H21" s="14">
        <f t="shared" si="2"/>
        <v>2.8300000000000018</v>
      </c>
      <c r="I21" s="26">
        <f t="shared" si="3"/>
        <v>0.12347294938917974</v>
      </c>
    </row>
    <row r="22" spans="1:9" x14ac:dyDescent="0.25">
      <c r="A22" s="16" t="s">
        <v>60</v>
      </c>
      <c r="B22" s="17"/>
      <c r="C22" s="17">
        <v>0.1</v>
      </c>
      <c r="D22" s="17"/>
      <c r="E22" s="17"/>
      <c r="F22" s="25" t="str">
        <f t="shared" si="0"/>
        <v/>
      </c>
      <c r="G22" s="25" t="str">
        <f t="shared" si="1"/>
        <v/>
      </c>
      <c r="H22" s="17">
        <f t="shared" si="2"/>
        <v>0.1</v>
      </c>
      <c r="I22" s="25" t="str">
        <f t="shared" si="3"/>
        <v/>
      </c>
    </row>
    <row r="23" spans="1:9" x14ac:dyDescent="0.25">
      <c r="A23" s="13" t="s">
        <v>22</v>
      </c>
      <c r="B23" s="14"/>
      <c r="C23" s="14">
        <v>0.1</v>
      </c>
      <c r="D23" s="14"/>
      <c r="E23" s="14"/>
      <c r="F23" s="26" t="str">
        <f t="shared" si="0"/>
        <v/>
      </c>
      <c r="G23" s="26" t="str">
        <f t="shared" si="1"/>
        <v/>
      </c>
      <c r="H23" s="14">
        <f t="shared" si="2"/>
        <v>0.1</v>
      </c>
      <c r="I23" s="26" t="str">
        <f t="shared" si="3"/>
        <v/>
      </c>
    </row>
    <row r="24" spans="1:9" x14ac:dyDescent="0.25">
      <c r="A24" s="16" t="s">
        <v>53</v>
      </c>
      <c r="B24" s="17">
        <v>234.53999999999996</v>
      </c>
      <c r="C24" s="17">
        <v>257.86</v>
      </c>
      <c r="D24" s="17">
        <v>740</v>
      </c>
      <c r="E24" s="17">
        <v>818</v>
      </c>
      <c r="F24" s="25">
        <f t="shared" si="0"/>
        <v>0.31694594594594588</v>
      </c>
      <c r="G24" s="25">
        <f t="shared" si="1"/>
        <v>0.31523227383863084</v>
      </c>
      <c r="H24" s="17">
        <f t="shared" si="2"/>
        <v>23.32000000000005</v>
      </c>
      <c r="I24" s="25">
        <f t="shared" si="3"/>
        <v>9.9428668883772664E-2</v>
      </c>
    </row>
    <row r="25" spans="1:9" x14ac:dyDescent="0.25">
      <c r="A25" s="13" t="s">
        <v>34</v>
      </c>
      <c r="B25" s="14">
        <v>15.75</v>
      </c>
      <c r="C25" s="14">
        <v>16.690000000000001</v>
      </c>
      <c r="D25" s="14">
        <v>399</v>
      </c>
      <c r="E25" s="14">
        <v>399</v>
      </c>
      <c r="F25" s="26">
        <f t="shared" si="0"/>
        <v>3.9473684210526314E-2</v>
      </c>
      <c r="G25" s="26">
        <f t="shared" si="1"/>
        <v>4.1829573934837098E-2</v>
      </c>
      <c r="H25" s="14">
        <f t="shared" si="2"/>
        <v>0.94000000000000128</v>
      </c>
      <c r="I25" s="26">
        <f t="shared" si="3"/>
        <v>5.9682539682539781E-2</v>
      </c>
    </row>
    <row r="26" spans="1:9" x14ac:dyDescent="0.25">
      <c r="A26" s="13" t="s">
        <v>35</v>
      </c>
      <c r="B26" s="14"/>
      <c r="C26" s="14">
        <v>0.92</v>
      </c>
      <c r="D26" s="14"/>
      <c r="E26" s="14">
        <v>1</v>
      </c>
      <c r="F26" s="26" t="str">
        <f t="shared" si="0"/>
        <v/>
      </c>
      <c r="G26" s="26">
        <f t="shared" si="1"/>
        <v>0.92</v>
      </c>
      <c r="H26" s="14">
        <f t="shared" si="2"/>
        <v>0.92</v>
      </c>
      <c r="I26" s="26" t="str">
        <f t="shared" si="3"/>
        <v/>
      </c>
    </row>
    <row r="27" spans="1:9" x14ac:dyDescent="0.25">
      <c r="A27" s="13" t="s">
        <v>36</v>
      </c>
      <c r="B27" s="14">
        <v>108.4</v>
      </c>
      <c r="C27" s="14">
        <v>116.05</v>
      </c>
      <c r="D27" s="14">
        <v>170</v>
      </c>
      <c r="E27" s="14">
        <v>247</v>
      </c>
      <c r="F27" s="26">
        <f t="shared" si="0"/>
        <v>0.63764705882352946</v>
      </c>
      <c r="G27" s="26">
        <f t="shared" si="1"/>
        <v>0.46983805668016193</v>
      </c>
      <c r="H27" s="14">
        <f t="shared" si="2"/>
        <v>7.6499999999999915</v>
      </c>
      <c r="I27" s="26">
        <f t="shared" si="3"/>
        <v>7.0571955719557211E-2</v>
      </c>
    </row>
    <row r="28" spans="1:9" x14ac:dyDescent="0.25">
      <c r="A28" s="13" t="s">
        <v>38</v>
      </c>
      <c r="B28" s="14">
        <v>19.189999999999998</v>
      </c>
      <c r="C28" s="14">
        <v>32.82</v>
      </c>
      <c r="D28" s="14">
        <v>20</v>
      </c>
      <c r="E28" s="14">
        <v>20</v>
      </c>
      <c r="F28" s="26">
        <f t="shared" si="0"/>
        <v>0.95949999999999991</v>
      </c>
      <c r="G28" s="26">
        <f t="shared" si="1"/>
        <v>1.641</v>
      </c>
      <c r="H28" s="14">
        <f t="shared" si="2"/>
        <v>13.630000000000003</v>
      </c>
      <c r="I28" s="26">
        <f t="shared" si="3"/>
        <v>0.71026576341844727</v>
      </c>
    </row>
    <row r="29" spans="1:9" x14ac:dyDescent="0.25">
      <c r="A29" s="13" t="s">
        <v>42</v>
      </c>
      <c r="B29" s="14">
        <v>91.199999999999974</v>
      </c>
      <c r="C29" s="14">
        <v>91.38</v>
      </c>
      <c r="D29" s="14">
        <v>151</v>
      </c>
      <c r="E29" s="14">
        <v>151</v>
      </c>
      <c r="F29" s="26">
        <f t="shared" si="0"/>
        <v>0.60397350993377463</v>
      </c>
      <c r="G29" s="26">
        <f t="shared" si="1"/>
        <v>0.60516556291390722</v>
      </c>
      <c r="H29" s="14">
        <f t="shared" si="2"/>
        <v>0.18000000000002103</v>
      </c>
      <c r="I29" s="26">
        <f t="shared" si="3"/>
        <v>1.9736842105264607E-3</v>
      </c>
    </row>
    <row r="30" spans="1:9" x14ac:dyDescent="0.25">
      <c r="A30" s="16" t="s">
        <v>52</v>
      </c>
      <c r="B30" s="17">
        <v>0.84</v>
      </c>
      <c r="C30" s="17">
        <v>2.13</v>
      </c>
      <c r="D30" s="17">
        <v>2</v>
      </c>
      <c r="E30" s="17">
        <v>2</v>
      </c>
      <c r="F30" s="25">
        <f t="shared" si="0"/>
        <v>0.42</v>
      </c>
      <c r="G30" s="25">
        <f t="shared" si="1"/>
        <v>1.0649999999999999</v>
      </c>
      <c r="H30" s="17">
        <f t="shared" si="2"/>
        <v>1.29</v>
      </c>
      <c r="I30" s="25">
        <f t="shared" si="3"/>
        <v>1.5357142857142856</v>
      </c>
    </row>
    <row r="31" spans="1:9" x14ac:dyDescent="0.25">
      <c r="A31" s="13" t="s">
        <v>33</v>
      </c>
      <c r="B31" s="14">
        <v>0.84</v>
      </c>
      <c r="C31" s="14">
        <v>2.13</v>
      </c>
      <c r="D31" s="14">
        <v>2</v>
      </c>
      <c r="E31" s="14">
        <v>2</v>
      </c>
      <c r="F31" s="26">
        <f t="shared" si="0"/>
        <v>0.42</v>
      </c>
      <c r="G31" s="26">
        <f t="shared" si="1"/>
        <v>1.0649999999999999</v>
      </c>
      <c r="H31" s="14">
        <f t="shared" si="2"/>
        <v>1.29</v>
      </c>
      <c r="I31" s="26">
        <f t="shared" si="3"/>
        <v>1.5357142857142856</v>
      </c>
    </row>
    <row r="32" spans="1:9" x14ac:dyDescent="0.25">
      <c r="A32" s="16" t="s">
        <v>65</v>
      </c>
      <c r="B32" s="17">
        <v>2.6100000000000003</v>
      </c>
      <c r="C32" s="17">
        <v>4.4700000000000006</v>
      </c>
      <c r="D32" s="17">
        <v>3</v>
      </c>
      <c r="E32" s="17">
        <v>2</v>
      </c>
      <c r="F32" s="25">
        <f t="shared" si="0"/>
        <v>0.87000000000000011</v>
      </c>
      <c r="G32" s="25">
        <f t="shared" si="1"/>
        <v>2.2350000000000003</v>
      </c>
      <c r="H32" s="17">
        <f t="shared" si="2"/>
        <v>1.8600000000000003</v>
      </c>
      <c r="I32" s="25">
        <f t="shared" si="3"/>
        <v>0.71264367816091956</v>
      </c>
    </row>
    <row r="33" spans="1:9" x14ac:dyDescent="0.25">
      <c r="A33" s="13" t="s">
        <v>66</v>
      </c>
      <c r="B33" s="14">
        <v>2.6100000000000003</v>
      </c>
      <c r="C33" s="14">
        <v>4.4700000000000006</v>
      </c>
      <c r="D33" s="14">
        <v>3</v>
      </c>
      <c r="E33" s="14">
        <v>2</v>
      </c>
      <c r="F33" s="26">
        <f t="shared" si="0"/>
        <v>0.87000000000000011</v>
      </c>
      <c r="G33" s="26">
        <f t="shared" si="1"/>
        <v>2.2350000000000003</v>
      </c>
      <c r="H33" s="14">
        <f t="shared" si="2"/>
        <v>1.8600000000000003</v>
      </c>
      <c r="I33" s="26">
        <f t="shared" si="3"/>
        <v>0.71264367816091956</v>
      </c>
    </row>
    <row r="34" spans="1:9" x14ac:dyDescent="0.25">
      <c r="A34" s="16" t="s">
        <v>51</v>
      </c>
      <c r="B34" s="17">
        <v>10.69</v>
      </c>
      <c r="C34" s="17">
        <v>9.25</v>
      </c>
      <c r="D34" s="17">
        <v>96</v>
      </c>
      <c r="E34" s="17">
        <v>101</v>
      </c>
      <c r="F34" s="25">
        <f t="shared" si="0"/>
        <v>0.11135416666666666</v>
      </c>
      <c r="G34" s="25">
        <f t="shared" si="1"/>
        <v>9.1584158415841582E-2</v>
      </c>
      <c r="H34" s="17">
        <f t="shared" si="2"/>
        <v>-1.4399999999999995</v>
      </c>
      <c r="I34" s="25">
        <f t="shared" si="3"/>
        <v>-0.13470533208606172</v>
      </c>
    </row>
    <row r="35" spans="1:9" x14ac:dyDescent="0.25">
      <c r="A35" s="72" t="s">
        <v>25</v>
      </c>
      <c r="B35" s="71"/>
      <c r="C35" s="71"/>
      <c r="D35" s="71">
        <v>2</v>
      </c>
      <c r="E35" s="71"/>
      <c r="F35" s="74">
        <f t="shared" si="0"/>
        <v>0</v>
      </c>
      <c r="G35" s="74" t="str">
        <f t="shared" si="1"/>
        <v/>
      </c>
      <c r="H35" s="71">
        <f t="shared" si="2"/>
        <v>0</v>
      </c>
      <c r="I35" s="74" t="str">
        <f t="shared" si="3"/>
        <v/>
      </c>
    </row>
    <row r="36" spans="1:9" x14ac:dyDescent="0.25">
      <c r="A36" s="13" t="s">
        <v>26</v>
      </c>
      <c r="B36" s="14">
        <v>2.72</v>
      </c>
      <c r="C36" s="14">
        <v>8.48</v>
      </c>
      <c r="D36" s="14">
        <v>87</v>
      </c>
      <c r="E36" s="14">
        <v>92</v>
      </c>
      <c r="F36" s="26">
        <f t="shared" si="0"/>
        <v>3.1264367816091959E-2</v>
      </c>
      <c r="G36" s="26">
        <f t="shared" si="1"/>
        <v>9.2173913043478259E-2</v>
      </c>
      <c r="H36" s="14">
        <f t="shared" si="2"/>
        <v>5.76</v>
      </c>
      <c r="I36" s="26">
        <f t="shared" si="3"/>
        <v>2.1176470588235294</v>
      </c>
    </row>
    <row r="37" spans="1:9" x14ac:dyDescent="0.25">
      <c r="A37" s="13" t="s">
        <v>27</v>
      </c>
      <c r="B37" s="14"/>
      <c r="C37" s="14"/>
      <c r="D37" s="14">
        <v>443</v>
      </c>
      <c r="E37" s="14"/>
      <c r="F37" s="26">
        <f t="shared" si="0"/>
        <v>0</v>
      </c>
      <c r="G37" s="26" t="str">
        <f t="shared" si="1"/>
        <v/>
      </c>
      <c r="H37" s="14">
        <f t="shared" si="2"/>
        <v>0</v>
      </c>
      <c r="I37" s="26" t="str">
        <f t="shared" si="3"/>
        <v/>
      </c>
    </row>
    <row r="38" spans="1:9" x14ac:dyDescent="0.25">
      <c r="A38" s="13" t="s">
        <v>28</v>
      </c>
      <c r="B38" s="14">
        <v>7.97</v>
      </c>
      <c r="C38" s="14">
        <v>7.16</v>
      </c>
      <c r="D38" s="14">
        <v>10</v>
      </c>
      <c r="E38" s="14">
        <v>9</v>
      </c>
      <c r="F38" s="26">
        <f t="shared" si="0"/>
        <v>0.79699999999999993</v>
      </c>
      <c r="G38" s="26">
        <f t="shared" si="1"/>
        <v>0.79555555555555557</v>
      </c>
      <c r="H38" s="14">
        <f t="shared" si="2"/>
        <v>-0.80999999999999961</v>
      </c>
      <c r="I38" s="26">
        <f t="shared" si="3"/>
        <v>-0.1016311166875784</v>
      </c>
    </row>
    <row r="39" spans="1:9" x14ac:dyDescent="0.25">
      <c r="A39" s="16" t="s">
        <v>54</v>
      </c>
      <c r="B39" s="17">
        <v>2643.5700000000006</v>
      </c>
      <c r="C39" s="17">
        <v>3167.6299999999997</v>
      </c>
      <c r="D39" s="17">
        <v>2606</v>
      </c>
      <c r="E39" s="17">
        <v>2949</v>
      </c>
      <c r="F39" s="25">
        <f t="shared" si="0"/>
        <v>1.0144167306216425</v>
      </c>
      <c r="G39" s="25">
        <f t="shared" si="1"/>
        <v>1.0741369955917259</v>
      </c>
      <c r="H39" s="17">
        <f t="shared" si="2"/>
        <v>524.05999999999904</v>
      </c>
      <c r="I39" s="25">
        <f t="shared" si="3"/>
        <v>0.19823950188570727</v>
      </c>
    </row>
    <row r="40" spans="1:9" x14ac:dyDescent="0.25">
      <c r="A40" s="13" t="s">
        <v>43</v>
      </c>
      <c r="B40" s="14">
        <v>47.67</v>
      </c>
      <c r="C40" s="14">
        <v>49.620000000000005</v>
      </c>
      <c r="D40" s="14">
        <v>48</v>
      </c>
      <c r="E40" s="14">
        <v>50</v>
      </c>
      <c r="F40" s="26">
        <f t="shared" si="0"/>
        <v>0.99312500000000004</v>
      </c>
      <c r="G40" s="26">
        <f t="shared" si="1"/>
        <v>0.99240000000000006</v>
      </c>
      <c r="H40" s="14">
        <f t="shared" si="2"/>
        <v>1.9500000000000028</v>
      </c>
      <c r="I40" s="26">
        <f t="shared" si="3"/>
        <v>4.0906230333543236E-2</v>
      </c>
    </row>
    <row r="41" spans="1:9" x14ac:dyDescent="0.25">
      <c r="A41" s="13" t="s">
        <v>44</v>
      </c>
      <c r="B41" s="14">
        <v>2595.9000000000005</v>
      </c>
      <c r="C41" s="14">
        <v>3118.0099999999998</v>
      </c>
      <c r="D41" s="14">
        <v>2558</v>
      </c>
      <c r="E41" s="14">
        <v>2899</v>
      </c>
      <c r="F41" s="26">
        <f t="shared" si="0"/>
        <v>1.0148162627052386</v>
      </c>
      <c r="G41" s="26">
        <f t="shared" si="1"/>
        <v>1.0755467402552603</v>
      </c>
      <c r="H41" s="14">
        <f t="shared" si="2"/>
        <v>522.10999999999922</v>
      </c>
      <c r="I41" s="26">
        <f t="shared" si="3"/>
        <v>0.2011287029546589</v>
      </c>
    </row>
    <row r="42" spans="1:9" x14ac:dyDescent="0.25">
      <c r="A42" s="16" t="s">
        <v>67</v>
      </c>
      <c r="B42" s="17">
        <v>2521.9999999999991</v>
      </c>
      <c r="C42" s="17">
        <v>2410.4899999999998</v>
      </c>
      <c r="D42" s="17">
        <v>24855</v>
      </c>
      <c r="E42" s="17">
        <v>24990</v>
      </c>
      <c r="F42" s="25">
        <f t="shared" si="0"/>
        <v>0.10146851740092533</v>
      </c>
      <c r="G42" s="25">
        <f t="shared" si="1"/>
        <v>9.6458183273309309E-2</v>
      </c>
      <c r="H42" s="17">
        <f t="shared" si="2"/>
        <v>-111.50999999999931</v>
      </c>
      <c r="I42" s="25">
        <f t="shared" si="3"/>
        <v>-4.4214908802537423E-2</v>
      </c>
    </row>
    <row r="43" spans="1:9" x14ac:dyDescent="0.25">
      <c r="A43" s="13" t="s">
        <v>68</v>
      </c>
      <c r="B43" s="14">
        <v>48.11</v>
      </c>
      <c r="C43" s="14">
        <v>51.779999999999994</v>
      </c>
      <c r="D43" s="14">
        <v>2862</v>
      </c>
      <c r="E43" s="14">
        <v>2865</v>
      </c>
      <c r="F43" s="26">
        <f t="shared" si="0"/>
        <v>1.6809923130677848E-2</v>
      </c>
      <c r="G43" s="26">
        <f t="shared" si="1"/>
        <v>1.807329842931937E-2</v>
      </c>
      <c r="H43" s="14">
        <f t="shared" si="2"/>
        <v>3.6699999999999946</v>
      </c>
      <c r="I43" s="26">
        <f t="shared" si="3"/>
        <v>7.6283516940344853E-2</v>
      </c>
    </row>
    <row r="44" spans="1:9" x14ac:dyDescent="0.25">
      <c r="A44" s="13" t="s">
        <v>69</v>
      </c>
      <c r="B44" s="14">
        <v>1206.8799999999997</v>
      </c>
      <c r="C44" s="14">
        <v>1052.4499999999998</v>
      </c>
      <c r="D44" s="14">
        <v>7321</v>
      </c>
      <c r="E44" s="14">
        <v>7396</v>
      </c>
      <c r="F44" s="26">
        <f t="shared" si="0"/>
        <v>0.16485179620270451</v>
      </c>
      <c r="G44" s="26">
        <f t="shared" si="1"/>
        <v>0.14229989183342345</v>
      </c>
      <c r="H44" s="14">
        <f t="shared" si="2"/>
        <v>-154.42999999999984</v>
      </c>
      <c r="I44" s="26">
        <f t="shared" si="3"/>
        <v>-0.12795804056741344</v>
      </c>
    </row>
    <row r="45" spans="1:9" x14ac:dyDescent="0.25">
      <c r="A45" s="13" t="s">
        <v>70</v>
      </c>
      <c r="B45" s="14">
        <v>1130.0999999999999</v>
      </c>
      <c r="C45" s="14">
        <v>1175.56</v>
      </c>
      <c r="D45" s="14">
        <v>13757</v>
      </c>
      <c r="E45" s="14">
        <v>13812</v>
      </c>
      <c r="F45" s="26">
        <f t="shared" si="0"/>
        <v>8.2147270480482662E-2</v>
      </c>
      <c r="G45" s="26">
        <f t="shared" si="1"/>
        <v>8.511149724876918E-2</v>
      </c>
      <c r="H45" s="14">
        <f t="shared" si="2"/>
        <v>45.460000000000036</v>
      </c>
      <c r="I45" s="26">
        <f t="shared" si="3"/>
        <v>4.0226528625785463E-2</v>
      </c>
    </row>
    <row r="46" spans="1:9" x14ac:dyDescent="0.25">
      <c r="A46" s="13" t="s">
        <v>71</v>
      </c>
      <c r="B46" s="14">
        <v>136.91000000000003</v>
      </c>
      <c r="C46" s="14">
        <v>130.69999999999999</v>
      </c>
      <c r="D46" s="14">
        <v>915</v>
      </c>
      <c r="E46" s="14">
        <v>917</v>
      </c>
      <c r="F46" s="26">
        <f t="shared" si="0"/>
        <v>0.14962841530054646</v>
      </c>
      <c r="G46" s="26">
        <f t="shared" si="1"/>
        <v>0.14252998909487458</v>
      </c>
      <c r="H46" s="14">
        <f t="shared" si="2"/>
        <v>-6.2100000000000364</v>
      </c>
      <c r="I46" s="26">
        <f t="shared" si="3"/>
        <v>-4.5358264553356453E-2</v>
      </c>
    </row>
    <row r="47" spans="1:9" x14ac:dyDescent="0.25">
      <c r="A47" s="16" t="s">
        <v>79</v>
      </c>
      <c r="B47" s="17"/>
      <c r="C47" s="17"/>
      <c r="D47" s="17">
        <v>24</v>
      </c>
      <c r="E47" s="17">
        <v>24</v>
      </c>
      <c r="F47" s="25">
        <f t="shared" si="0"/>
        <v>0</v>
      </c>
      <c r="G47" s="25">
        <f t="shared" si="1"/>
        <v>0</v>
      </c>
      <c r="H47" s="17">
        <f t="shared" si="2"/>
        <v>0</v>
      </c>
      <c r="I47" s="25" t="str">
        <f t="shared" si="3"/>
        <v/>
      </c>
    </row>
    <row r="48" spans="1:9" x14ac:dyDescent="0.25">
      <c r="A48" s="72" t="s">
        <v>84</v>
      </c>
      <c r="B48" s="71"/>
      <c r="C48" s="71"/>
      <c r="D48" s="71">
        <v>24</v>
      </c>
      <c r="E48" s="71">
        <v>24</v>
      </c>
      <c r="F48" s="74">
        <f t="shared" si="0"/>
        <v>0</v>
      </c>
      <c r="G48" s="74">
        <f t="shared" si="1"/>
        <v>0</v>
      </c>
      <c r="H48" s="71">
        <f t="shared" si="2"/>
        <v>0</v>
      </c>
      <c r="I48" s="74" t="str">
        <f t="shared" si="3"/>
        <v/>
      </c>
    </row>
    <row r="49" spans="1:9" x14ac:dyDescent="0.25">
      <c r="A49" s="16" t="s">
        <v>55</v>
      </c>
      <c r="B49" s="17">
        <v>0.78</v>
      </c>
      <c r="C49" s="17"/>
      <c r="D49" s="17">
        <v>39</v>
      </c>
      <c r="E49" s="17"/>
      <c r="F49" s="25">
        <f t="shared" si="0"/>
        <v>0.02</v>
      </c>
      <c r="G49" s="25" t="str">
        <f t="shared" si="1"/>
        <v/>
      </c>
      <c r="H49" s="17">
        <f t="shared" si="2"/>
        <v>-0.78</v>
      </c>
      <c r="I49" s="25">
        <f t="shared" si="3"/>
        <v>-1</v>
      </c>
    </row>
    <row r="50" spans="1:9" x14ac:dyDescent="0.25">
      <c r="A50" s="13" t="s">
        <v>45</v>
      </c>
      <c r="B50" s="14">
        <v>0.78</v>
      </c>
      <c r="C50" s="14"/>
      <c r="D50" s="14">
        <v>39</v>
      </c>
      <c r="E50" s="14"/>
      <c r="F50" s="26">
        <f t="shared" si="0"/>
        <v>0.02</v>
      </c>
      <c r="G50" s="26" t="str">
        <f t="shared" si="1"/>
        <v/>
      </c>
      <c r="H50" s="14">
        <f t="shared" si="2"/>
        <v>-0.78</v>
      </c>
      <c r="I50" s="26">
        <f t="shared" si="3"/>
        <v>-1</v>
      </c>
    </row>
    <row r="51" spans="1:9" x14ac:dyDescent="0.25">
      <c r="A51" s="16" t="s">
        <v>57</v>
      </c>
      <c r="B51" s="17">
        <v>0.89</v>
      </c>
      <c r="C51" s="17">
        <v>0.89</v>
      </c>
      <c r="D51" s="17">
        <v>27</v>
      </c>
      <c r="E51" s="17"/>
      <c r="F51" s="25">
        <f t="shared" si="0"/>
        <v>3.2962962962962965E-2</v>
      </c>
      <c r="G51" s="25" t="str">
        <f t="shared" si="1"/>
        <v/>
      </c>
      <c r="H51" s="17">
        <f t="shared" si="2"/>
        <v>0</v>
      </c>
      <c r="I51" s="25">
        <f t="shared" si="3"/>
        <v>0</v>
      </c>
    </row>
    <row r="52" spans="1:9" x14ac:dyDescent="0.25">
      <c r="A52" s="13" t="s">
        <v>47</v>
      </c>
      <c r="B52" s="14">
        <v>0.89</v>
      </c>
      <c r="C52" s="14">
        <v>0.89</v>
      </c>
      <c r="D52" s="14">
        <v>27</v>
      </c>
      <c r="E52" s="14"/>
      <c r="F52" s="26">
        <f t="shared" si="0"/>
        <v>3.2962962962962965E-2</v>
      </c>
      <c r="G52" s="26" t="str">
        <f t="shared" si="1"/>
        <v/>
      </c>
      <c r="H52" s="14">
        <f t="shared" si="2"/>
        <v>0</v>
      </c>
      <c r="I52" s="26">
        <f t="shared" si="3"/>
        <v>0</v>
      </c>
    </row>
    <row r="53" spans="1:9" x14ac:dyDescent="0.25">
      <c r="A53" s="16" t="s">
        <v>86</v>
      </c>
      <c r="B53" s="17"/>
      <c r="C53" s="17">
        <v>1.1600000000000001</v>
      </c>
      <c r="D53" s="17"/>
      <c r="E53" s="17">
        <v>2</v>
      </c>
      <c r="F53" s="25" t="str">
        <f t="shared" si="0"/>
        <v/>
      </c>
      <c r="G53" s="25">
        <f t="shared" si="1"/>
        <v>0.58000000000000007</v>
      </c>
      <c r="H53" s="17">
        <f t="shared" si="2"/>
        <v>1.1600000000000001</v>
      </c>
      <c r="I53" s="25" t="str">
        <f t="shared" si="3"/>
        <v/>
      </c>
    </row>
    <row r="54" spans="1:9" x14ac:dyDescent="0.25">
      <c r="A54" s="13" t="s">
        <v>72</v>
      </c>
      <c r="B54" s="14"/>
      <c r="C54" s="14">
        <v>1.1600000000000001</v>
      </c>
      <c r="D54" s="14"/>
      <c r="E54" s="14">
        <v>2</v>
      </c>
      <c r="F54" s="26" t="str">
        <f t="shared" si="0"/>
        <v/>
      </c>
      <c r="G54" s="26">
        <f t="shared" si="1"/>
        <v>0.58000000000000007</v>
      </c>
      <c r="H54" s="14">
        <f t="shared" si="2"/>
        <v>1.1600000000000001</v>
      </c>
      <c r="I54" s="26" t="str">
        <f t="shared" si="3"/>
        <v/>
      </c>
    </row>
    <row r="55" spans="1:9" x14ac:dyDescent="0.25">
      <c r="A55" s="18" t="s">
        <v>59</v>
      </c>
      <c r="B55" s="31">
        <v>9128.3000000000029</v>
      </c>
      <c r="C55" s="31">
        <v>9700.739999999998</v>
      </c>
      <c r="D55" s="31">
        <v>37118</v>
      </c>
      <c r="E55" s="31">
        <v>37779</v>
      </c>
      <c r="F55" s="75">
        <f t="shared" si="0"/>
        <v>0.24592650466081153</v>
      </c>
      <c r="G55" s="75">
        <f t="shared" si="1"/>
        <v>0.25677598665925511</v>
      </c>
      <c r="H55" s="31">
        <f t="shared" si="2"/>
        <v>572.43999999999505</v>
      </c>
      <c r="I55" s="75">
        <f t="shared" si="3"/>
        <v>6.2710471829365177E-2</v>
      </c>
    </row>
  </sheetData>
  <mergeCells count="5">
    <mergeCell ref="H6:I6"/>
    <mergeCell ref="A6:A7"/>
    <mergeCell ref="B6:C6"/>
    <mergeCell ref="D6:E6"/>
    <mergeCell ref="F6:G6"/>
  </mergeCells>
  <conditionalFormatting sqref="H8:I55">
    <cfRule type="cellIs" dxfId="1" priority="1" operator="lessThan">
      <formula>0</formula>
    </cfRule>
  </conditionalFormatting>
  <hyperlinks>
    <hyperlink ref="D1" location="INDICE!A1" display="INDIC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topLeftCell="A7" workbookViewId="0">
      <selection activeCell="D1" sqref="D1"/>
    </sheetView>
  </sheetViews>
  <sheetFormatPr baseColWidth="10" defaultRowHeight="15" x14ac:dyDescent="0.25"/>
  <cols>
    <col min="1" max="1" width="20" customWidth="1"/>
    <col min="6" max="6" width="16.42578125" customWidth="1"/>
    <col min="7" max="7" width="16.140625" customWidth="1"/>
    <col min="8" max="8" width="13" customWidth="1"/>
    <col min="14" max="14" width="17.42578125" bestFit="1" customWidth="1"/>
  </cols>
  <sheetData>
    <row r="1" spans="1:19" x14ac:dyDescent="0.25">
      <c r="C1" s="2" t="s">
        <v>0</v>
      </c>
      <c r="D1" s="176" t="s">
        <v>1</v>
      </c>
      <c r="E1" s="2" t="s">
        <v>216</v>
      </c>
      <c r="F1" t="s">
        <v>227</v>
      </c>
    </row>
    <row r="2" spans="1:19" x14ac:dyDescent="0.25">
      <c r="C2" s="2"/>
      <c r="D2" s="5"/>
      <c r="E2" s="2"/>
      <c r="F2" t="s">
        <v>223</v>
      </c>
    </row>
    <row r="3" spans="1:19" x14ac:dyDescent="0.25">
      <c r="C3" s="2"/>
      <c r="D3" s="5"/>
      <c r="E3" s="2"/>
      <c r="F3" t="s">
        <v>222</v>
      </c>
    </row>
    <row r="4" spans="1:19" x14ac:dyDescent="0.25">
      <c r="F4" t="s">
        <v>229</v>
      </c>
    </row>
    <row r="5" spans="1:19" ht="18.75" x14ac:dyDescent="0.3">
      <c r="A5" s="305" t="s">
        <v>143</v>
      </c>
      <c r="B5" s="305"/>
      <c r="D5" s="3"/>
    </row>
    <row r="6" spans="1:19" ht="32.25" customHeight="1" x14ac:dyDescent="0.25">
      <c r="A6" s="301" t="s">
        <v>2</v>
      </c>
      <c r="B6" s="301" t="s">
        <v>235</v>
      </c>
      <c r="C6" s="301"/>
      <c r="D6" s="302" t="s">
        <v>3</v>
      </c>
      <c r="E6" s="302"/>
      <c r="F6" s="302" t="s">
        <v>236</v>
      </c>
      <c r="G6" s="302"/>
      <c r="H6" s="302" t="s">
        <v>237</v>
      </c>
      <c r="I6" s="302"/>
      <c r="K6" s="247" t="s">
        <v>276</v>
      </c>
      <c r="P6" s="247" t="s">
        <v>265</v>
      </c>
    </row>
    <row r="7" spans="1:19" ht="45" x14ac:dyDescent="0.25">
      <c r="A7" s="301"/>
      <c r="B7" s="11">
        <v>2019</v>
      </c>
      <c r="C7" s="10">
        <v>2020</v>
      </c>
      <c r="D7" s="11">
        <v>2019</v>
      </c>
      <c r="E7" s="11">
        <v>2020</v>
      </c>
      <c r="F7" s="10">
        <v>2019</v>
      </c>
      <c r="G7" s="10">
        <v>2020</v>
      </c>
      <c r="H7" s="11" t="s">
        <v>4</v>
      </c>
      <c r="I7" s="4" t="s">
        <v>5</v>
      </c>
      <c r="L7" s="285" t="s">
        <v>240</v>
      </c>
      <c r="M7" s="285" t="s">
        <v>278</v>
      </c>
      <c r="N7" s="286" t="s">
        <v>269</v>
      </c>
      <c r="O7" s="265"/>
      <c r="Q7" s="285" t="s">
        <v>248</v>
      </c>
      <c r="R7" s="285" t="s">
        <v>240</v>
      </c>
      <c r="S7" s="286" t="s">
        <v>279</v>
      </c>
    </row>
    <row r="8" spans="1:19" x14ac:dyDescent="0.25">
      <c r="A8" s="16" t="s">
        <v>49</v>
      </c>
      <c r="B8" s="17">
        <v>1190.6999999999998</v>
      </c>
      <c r="C8" s="17">
        <f>SUM(C9:C16)</f>
        <v>1332.3400000000001</v>
      </c>
      <c r="D8" s="17">
        <v>2207</v>
      </c>
      <c r="E8" s="17">
        <v>2382</v>
      </c>
      <c r="F8" s="25">
        <f>IFERROR(B8/D8,"")</f>
        <v>0.53951064793837777</v>
      </c>
      <c r="G8" s="25">
        <f>IFERROR(C8/E8,"")</f>
        <v>0.55933669185558366</v>
      </c>
      <c r="H8" s="17">
        <f>IFERROR(C8-B8,"")</f>
        <v>141.64000000000033</v>
      </c>
      <c r="I8" s="25">
        <f>IFERROR((C8/B8)-1,"")</f>
        <v>0.11895523641555417</v>
      </c>
      <c r="K8" s="284" t="s">
        <v>54</v>
      </c>
      <c r="L8" s="162">
        <f>C50</f>
        <v>2366.79</v>
      </c>
      <c r="M8" s="162">
        <f>E50</f>
        <v>2335</v>
      </c>
      <c r="N8" s="124">
        <f>L8/M8</f>
        <v>1.0136145610278373</v>
      </c>
      <c r="P8" s="284" t="s">
        <v>54</v>
      </c>
      <c r="Q8" s="162">
        <f>B50</f>
        <v>2350.1700000000005</v>
      </c>
      <c r="R8" s="162">
        <f>C50</f>
        <v>2366.79</v>
      </c>
      <c r="S8" s="124">
        <f>R8/Q8-1</f>
        <v>7.0718288464235446E-3</v>
      </c>
    </row>
    <row r="9" spans="1:19" x14ac:dyDescent="0.25">
      <c r="A9" s="13" t="s">
        <v>11</v>
      </c>
      <c r="B9" s="14">
        <v>11.049999999999997</v>
      </c>
      <c r="C9" s="14">
        <v>6.580000000000001</v>
      </c>
      <c r="D9" s="14">
        <v>87</v>
      </c>
      <c r="E9" s="14">
        <v>90</v>
      </c>
      <c r="F9" s="26">
        <f t="shared" ref="F9:F72" si="0">IFERROR(B9/D9,"")</f>
        <v>0.12701149425287353</v>
      </c>
      <c r="G9" s="26">
        <f t="shared" ref="G9:G72" si="1">IFERROR(C9/E9,"")</f>
        <v>7.3111111111111127E-2</v>
      </c>
      <c r="H9" s="14">
        <f t="shared" ref="H9:H72" si="2">IFERROR(C9-B9,"")</f>
        <v>-4.4699999999999962</v>
      </c>
      <c r="I9" s="26">
        <f t="shared" ref="I9:I72" si="3">IFERROR((C9/B9)-1,"")</f>
        <v>-0.40452488687782784</v>
      </c>
      <c r="K9" s="284" t="s">
        <v>52</v>
      </c>
      <c r="L9" s="162">
        <f>C37</f>
        <v>1762.77</v>
      </c>
      <c r="M9" s="162">
        <f>E37</f>
        <v>1740</v>
      </c>
      <c r="N9" s="124">
        <f t="shared" ref="N9:N14" si="4">L9/M9</f>
        <v>1.0130862068965518</v>
      </c>
      <c r="P9" s="284" t="s">
        <v>52</v>
      </c>
      <c r="Q9" s="162">
        <f>B37</f>
        <v>1613.5900000000001</v>
      </c>
      <c r="R9" s="162">
        <f>C37</f>
        <v>1762.77</v>
      </c>
      <c r="S9" s="124">
        <f t="shared" ref="S9:S14" si="5">R9/Q9-1</f>
        <v>9.2452233838831388E-2</v>
      </c>
    </row>
    <row r="10" spans="1:19" x14ac:dyDescent="0.25">
      <c r="A10" s="13" t="s">
        <v>12</v>
      </c>
      <c r="B10" s="14">
        <v>11.209999999999997</v>
      </c>
      <c r="C10" s="14">
        <v>11.3</v>
      </c>
      <c r="D10" s="14">
        <v>12</v>
      </c>
      <c r="E10" s="14">
        <v>13</v>
      </c>
      <c r="F10" s="26">
        <f t="shared" si="0"/>
        <v>0.93416666666666648</v>
      </c>
      <c r="G10" s="26">
        <f t="shared" si="1"/>
        <v>0.86923076923076925</v>
      </c>
      <c r="H10" s="14">
        <f t="shared" si="2"/>
        <v>9.0000000000003411E-2</v>
      </c>
      <c r="I10" s="26">
        <f t="shared" si="3"/>
        <v>8.0285459411242321E-3</v>
      </c>
      <c r="K10" s="284" t="s">
        <v>49</v>
      </c>
      <c r="L10" s="162">
        <f>C8</f>
        <v>1332.3400000000001</v>
      </c>
      <c r="M10" s="162">
        <f>E8</f>
        <v>2382</v>
      </c>
      <c r="N10" s="124">
        <f t="shared" si="4"/>
        <v>0.55933669185558366</v>
      </c>
      <c r="P10" s="284" t="s">
        <v>49</v>
      </c>
      <c r="Q10" s="162">
        <f>B8</f>
        <v>1190.6999999999998</v>
      </c>
      <c r="R10" s="162">
        <f>C8</f>
        <v>1332.3400000000001</v>
      </c>
      <c r="S10" s="124">
        <f t="shared" si="5"/>
        <v>0.11895523641555417</v>
      </c>
    </row>
    <row r="11" spans="1:19" x14ac:dyDescent="0.25">
      <c r="A11" s="13" t="s">
        <v>13</v>
      </c>
      <c r="B11" s="14">
        <v>348.4</v>
      </c>
      <c r="C11" s="14">
        <v>361.66</v>
      </c>
      <c r="D11" s="14">
        <v>350</v>
      </c>
      <c r="E11" s="14">
        <v>362</v>
      </c>
      <c r="F11" s="26">
        <f t="shared" si="0"/>
        <v>0.99542857142857133</v>
      </c>
      <c r="G11" s="26">
        <f t="shared" si="1"/>
        <v>0.99906077348066302</v>
      </c>
      <c r="H11" s="14">
        <f t="shared" si="2"/>
        <v>13.260000000000048</v>
      </c>
      <c r="I11" s="26">
        <f t="shared" si="3"/>
        <v>3.8059701492537457E-2</v>
      </c>
      <c r="K11" s="284" t="s">
        <v>51</v>
      </c>
      <c r="L11" s="164">
        <f>C45</f>
        <v>1177.9599999999998</v>
      </c>
      <c r="M11" s="164">
        <f>E45</f>
        <v>1139</v>
      </c>
      <c r="N11" s="124">
        <f t="shared" si="4"/>
        <v>1.0342054433713783</v>
      </c>
      <c r="P11" s="284" t="s">
        <v>51</v>
      </c>
      <c r="Q11" s="164">
        <f>B45</f>
        <v>1162.57</v>
      </c>
      <c r="R11" s="164">
        <f>C45</f>
        <v>1177.9599999999998</v>
      </c>
      <c r="S11" s="124">
        <f t="shared" si="5"/>
        <v>1.3237912555803089E-2</v>
      </c>
    </row>
    <row r="12" spans="1:19" x14ac:dyDescent="0.25">
      <c r="A12" s="13" t="s">
        <v>14</v>
      </c>
      <c r="B12" s="14">
        <v>386.47</v>
      </c>
      <c r="C12" s="14">
        <v>424.74000000000029</v>
      </c>
      <c r="D12" s="14">
        <v>841</v>
      </c>
      <c r="E12" s="14">
        <v>901</v>
      </c>
      <c r="F12" s="26">
        <f t="shared" si="0"/>
        <v>0.45953626634958389</v>
      </c>
      <c r="G12" s="26">
        <f t="shared" si="1"/>
        <v>0.47140954495005583</v>
      </c>
      <c r="H12" s="14">
        <f t="shared" si="2"/>
        <v>38.270000000000266</v>
      </c>
      <c r="I12" s="26">
        <f t="shared" si="3"/>
        <v>9.9024503842472189E-2</v>
      </c>
      <c r="K12" s="284" t="s">
        <v>50</v>
      </c>
      <c r="L12" s="162">
        <f>C17</f>
        <v>1095.4599999999998</v>
      </c>
      <c r="M12" s="162">
        <f>E17</f>
        <v>1067</v>
      </c>
      <c r="N12" s="124">
        <f t="shared" si="4"/>
        <v>1.0266729147141516</v>
      </c>
      <c r="P12" s="284" t="s">
        <v>50</v>
      </c>
      <c r="Q12" s="162">
        <f>B17</f>
        <v>903.36999999999978</v>
      </c>
      <c r="R12" s="162">
        <f>C17</f>
        <v>1095.4599999999998</v>
      </c>
      <c r="S12" s="124">
        <f t="shared" si="5"/>
        <v>0.2126371254303332</v>
      </c>
    </row>
    <row r="13" spans="1:19" x14ac:dyDescent="0.25">
      <c r="A13" s="13" t="s">
        <v>15</v>
      </c>
      <c r="B13" s="14">
        <v>19.28</v>
      </c>
      <c r="C13" s="14">
        <v>19.28</v>
      </c>
      <c r="D13" s="14">
        <v>19</v>
      </c>
      <c r="E13" s="14">
        <v>20</v>
      </c>
      <c r="F13" s="26">
        <f t="shared" si="0"/>
        <v>1.0147368421052632</v>
      </c>
      <c r="G13" s="26">
        <f t="shared" si="1"/>
        <v>0.96400000000000008</v>
      </c>
      <c r="H13" s="14">
        <f t="shared" si="2"/>
        <v>0</v>
      </c>
      <c r="I13" s="26">
        <f t="shared" si="3"/>
        <v>0</v>
      </c>
      <c r="K13" s="284" t="s">
        <v>60</v>
      </c>
      <c r="L13" s="162">
        <f>C23</f>
        <v>719.19</v>
      </c>
      <c r="M13" s="162">
        <f>E23</f>
        <v>1144</v>
      </c>
      <c r="N13" s="124">
        <f t="shared" si="4"/>
        <v>0.62866258741258751</v>
      </c>
      <c r="P13" s="284" t="s">
        <v>60</v>
      </c>
      <c r="Q13" s="162">
        <f>B23</f>
        <v>700.24999999999955</v>
      </c>
      <c r="R13" s="162">
        <f>C23</f>
        <v>719.19</v>
      </c>
      <c r="S13" s="124">
        <f t="shared" si="5"/>
        <v>2.7047483041771514E-2</v>
      </c>
    </row>
    <row r="14" spans="1:19" x14ac:dyDescent="0.25">
      <c r="A14" s="13" t="s">
        <v>16</v>
      </c>
      <c r="B14" s="14">
        <v>88.35</v>
      </c>
      <c r="C14" s="14">
        <v>87.509999999999977</v>
      </c>
      <c r="D14" s="14">
        <v>175</v>
      </c>
      <c r="E14" s="14">
        <v>175</v>
      </c>
      <c r="F14" s="26">
        <f t="shared" si="0"/>
        <v>0.50485714285714278</v>
      </c>
      <c r="G14" s="26">
        <f t="shared" si="1"/>
        <v>0.50005714285714276</v>
      </c>
      <c r="H14" s="14">
        <f t="shared" si="2"/>
        <v>-0.84000000000001762</v>
      </c>
      <c r="I14" s="26">
        <f t="shared" si="3"/>
        <v>-9.5076400679119377E-3</v>
      </c>
      <c r="K14" s="284" t="s">
        <v>293</v>
      </c>
      <c r="L14" s="162">
        <f>C27</f>
        <v>522.12</v>
      </c>
      <c r="M14" s="162">
        <f>E27</f>
        <v>725</v>
      </c>
      <c r="N14" s="124">
        <f t="shared" si="4"/>
        <v>0.72016551724137934</v>
      </c>
      <c r="P14" s="284" t="s">
        <v>293</v>
      </c>
      <c r="Q14" s="162">
        <f>B27</f>
        <v>436.17000000000007</v>
      </c>
      <c r="R14" s="162">
        <f>C27</f>
        <v>522.12</v>
      </c>
      <c r="S14" s="124">
        <f t="shared" si="5"/>
        <v>0.19705619368594784</v>
      </c>
    </row>
    <row r="15" spans="1:19" x14ac:dyDescent="0.25">
      <c r="A15" s="13" t="s">
        <v>17</v>
      </c>
      <c r="B15" s="14">
        <v>287.76999999999981</v>
      </c>
      <c r="C15" s="14">
        <v>300.45999999999998</v>
      </c>
      <c r="D15" s="14">
        <v>684</v>
      </c>
      <c r="E15" s="14">
        <v>698</v>
      </c>
      <c r="F15" s="26">
        <f t="shared" si="0"/>
        <v>0.4207163742690056</v>
      </c>
      <c r="G15" s="26">
        <f t="shared" si="1"/>
        <v>0.43045845272206301</v>
      </c>
      <c r="H15" s="14">
        <f t="shared" si="2"/>
        <v>12.690000000000168</v>
      </c>
      <c r="I15" s="26">
        <f t="shared" si="3"/>
        <v>4.4097716926712938E-2</v>
      </c>
    </row>
    <row r="16" spans="1:19" x14ac:dyDescent="0.25">
      <c r="A16" s="13" t="s">
        <v>18</v>
      </c>
      <c r="B16" s="14">
        <v>38.17</v>
      </c>
      <c r="C16" s="14">
        <v>120.80999999999999</v>
      </c>
      <c r="D16" s="14">
        <v>39</v>
      </c>
      <c r="E16" s="14">
        <v>123</v>
      </c>
      <c r="F16" s="26">
        <f t="shared" si="0"/>
        <v>0.97871794871794882</v>
      </c>
      <c r="G16" s="26">
        <f t="shared" si="1"/>
        <v>0.98219512195121939</v>
      </c>
      <c r="H16" s="14">
        <f t="shared" si="2"/>
        <v>82.639999999999986</v>
      </c>
      <c r="I16" s="26">
        <f t="shared" si="3"/>
        <v>2.1650510872412885</v>
      </c>
    </row>
    <row r="17" spans="1:9" x14ac:dyDescent="0.25">
      <c r="A17" s="16" t="s">
        <v>50</v>
      </c>
      <c r="B17" s="17">
        <v>903.36999999999978</v>
      </c>
      <c r="C17" s="17">
        <f>SUM(C18:C20)</f>
        <v>1095.4599999999998</v>
      </c>
      <c r="D17" s="17">
        <v>943</v>
      </c>
      <c r="E17" s="17">
        <v>1067</v>
      </c>
      <c r="F17" s="25">
        <f t="shared" si="0"/>
        <v>0.95797454931071024</v>
      </c>
      <c r="G17" s="25">
        <f t="shared" si="1"/>
        <v>1.0266729147141516</v>
      </c>
      <c r="H17" s="17">
        <f t="shared" si="2"/>
        <v>192.09000000000003</v>
      </c>
      <c r="I17" s="25">
        <f t="shared" si="3"/>
        <v>0.2126371254303332</v>
      </c>
    </row>
    <row r="18" spans="1:9" x14ac:dyDescent="0.25">
      <c r="A18" s="13" t="s">
        <v>19</v>
      </c>
      <c r="B18" s="14">
        <v>547.76999999999987</v>
      </c>
      <c r="C18" s="14">
        <v>699.40999999999974</v>
      </c>
      <c r="D18" s="14">
        <v>590</v>
      </c>
      <c r="E18" s="14">
        <v>652</v>
      </c>
      <c r="F18" s="26">
        <f t="shared" si="0"/>
        <v>0.92842372881355906</v>
      </c>
      <c r="G18" s="26">
        <f t="shared" si="1"/>
        <v>1.0727147239263799</v>
      </c>
      <c r="H18" s="14">
        <f t="shared" si="2"/>
        <v>151.63999999999987</v>
      </c>
      <c r="I18" s="26">
        <f t="shared" si="3"/>
        <v>0.2768315168775215</v>
      </c>
    </row>
    <row r="19" spans="1:9" x14ac:dyDescent="0.25">
      <c r="A19" s="13" t="s">
        <v>20</v>
      </c>
      <c r="B19" s="14">
        <v>127.8</v>
      </c>
      <c r="C19" s="14">
        <v>136.45000000000002</v>
      </c>
      <c r="D19" s="14">
        <v>136</v>
      </c>
      <c r="E19" s="14">
        <v>155</v>
      </c>
      <c r="F19" s="26">
        <f t="shared" si="0"/>
        <v>0.93970588235294117</v>
      </c>
      <c r="G19" s="26">
        <f t="shared" si="1"/>
        <v>0.88032258064516145</v>
      </c>
      <c r="H19" s="14">
        <f t="shared" si="2"/>
        <v>8.6500000000000199</v>
      </c>
      <c r="I19" s="26">
        <f t="shared" si="3"/>
        <v>6.7683881064162899E-2</v>
      </c>
    </row>
    <row r="20" spans="1:9" x14ac:dyDescent="0.25">
      <c r="A20" s="13" t="s">
        <v>21</v>
      </c>
      <c r="B20" s="14">
        <v>227.79999999999995</v>
      </c>
      <c r="C20" s="14">
        <v>259.59999999999997</v>
      </c>
      <c r="D20" s="14">
        <v>217</v>
      </c>
      <c r="E20" s="14">
        <v>260</v>
      </c>
      <c r="F20" s="26">
        <f t="shared" si="0"/>
        <v>1.0497695852534561</v>
      </c>
      <c r="G20" s="26">
        <f t="shared" si="1"/>
        <v>0.99846153846153829</v>
      </c>
      <c r="H20" s="14">
        <f t="shared" si="2"/>
        <v>31.800000000000011</v>
      </c>
      <c r="I20" s="26">
        <f t="shared" si="3"/>
        <v>0.1395961369622476</v>
      </c>
    </row>
    <row r="21" spans="1:9" x14ac:dyDescent="0.25">
      <c r="A21" s="16" t="s">
        <v>63</v>
      </c>
      <c r="B21" s="17">
        <v>0.17</v>
      </c>
      <c r="C21" s="17">
        <f>C22</f>
        <v>0.12</v>
      </c>
      <c r="D21" s="17"/>
      <c r="E21" s="17"/>
      <c r="F21" s="25" t="str">
        <f t="shared" si="0"/>
        <v/>
      </c>
      <c r="G21" s="25" t="str">
        <f t="shared" si="1"/>
        <v/>
      </c>
      <c r="H21" s="17">
        <f t="shared" si="2"/>
        <v>-5.0000000000000017E-2</v>
      </c>
      <c r="I21" s="25">
        <f t="shared" si="3"/>
        <v>-0.29411764705882359</v>
      </c>
    </row>
    <row r="22" spans="1:9" x14ac:dyDescent="0.25">
      <c r="A22" s="13" t="s">
        <v>64</v>
      </c>
      <c r="B22" s="14">
        <v>0.17</v>
      </c>
      <c r="C22" s="14">
        <v>0.12</v>
      </c>
      <c r="D22" s="14"/>
      <c r="E22" s="14"/>
      <c r="F22" s="26" t="str">
        <f t="shared" si="0"/>
        <v/>
      </c>
      <c r="G22" s="26" t="str">
        <f t="shared" si="1"/>
        <v/>
      </c>
      <c r="H22" s="14">
        <f t="shared" si="2"/>
        <v>-5.0000000000000017E-2</v>
      </c>
      <c r="I22" s="26">
        <f t="shared" si="3"/>
        <v>-0.29411764705882359</v>
      </c>
    </row>
    <row r="23" spans="1:9" x14ac:dyDescent="0.25">
      <c r="A23" s="16" t="s">
        <v>60</v>
      </c>
      <c r="B23" s="17">
        <v>700.24999999999955</v>
      </c>
      <c r="C23" s="17">
        <f>SUM(C24:C26)</f>
        <v>719.19</v>
      </c>
      <c r="D23" s="17">
        <v>1154</v>
      </c>
      <c r="E23" s="17">
        <v>1144</v>
      </c>
      <c r="F23" s="25">
        <f t="shared" si="0"/>
        <v>0.60680242634315384</v>
      </c>
      <c r="G23" s="25">
        <f t="shared" si="1"/>
        <v>0.62866258741258751</v>
      </c>
      <c r="H23" s="17">
        <f t="shared" si="2"/>
        <v>18.940000000000509</v>
      </c>
      <c r="I23" s="25">
        <f t="shared" si="3"/>
        <v>2.7047483041771514E-2</v>
      </c>
    </row>
    <row r="24" spans="1:9" x14ac:dyDescent="0.25">
      <c r="A24" s="13" t="s">
        <v>22</v>
      </c>
      <c r="B24" s="14">
        <v>28.919999999999998</v>
      </c>
      <c r="C24" s="14">
        <v>31.789999999999996</v>
      </c>
      <c r="D24" s="14">
        <v>98</v>
      </c>
      <c r="E24" s="14">
        <v>98</v>
      </c>
      <c r="F24" s="26">
        <f t="shared" si="0"/>
        <v>0.29510204081632652</v>
      </c>
      <c r="G24" s="26">
        <f t="shared" si="1"/>
        <v>0.32438775510204076</v>
      </c>
      <c r="H24" s="14">
        <f t="shared" si="2"/>
        <v>2.8699999999999974</v>
      </c>
      <c r="I24" s="26">
        <f t="shared" si="3"/>
        <v>9.9239280774550354E-2</v>
      </c>
    </row>
    <row r="25" spans="1:9" x14ac:dyDescent="0.25">
      <c r="A25" s="13" t="s">
        <v>23</v>
      </c>
      <c r="B25" s="14">
        <v>133.48000000000005</v>
      </c>
      <c r="C25" s="14">
        <v>148.6700000000001</v>
      </c>
      <c r="D25" s="14">
        <v>338</v>
      </c>
      <c r="E25" s="14">
        <v>358</v>
      </c>
      <c r="F25" s="26">
        <f t="shared" si="0"/>
        <v>0.39491124260355043</v>
      </c>
      <c r="G25" s="26">
        <f t="shared" si="1"/>
        <v>0.41527932960893882</v>
      </c>
      <c r="H25" s="14">
        <f t="shared" si="2"/>
        <v>15.190000000000055</v>
      </c>
      <c r="I25" s="26">
        <f t="shared" si="3"/>
        <v>0.11379982019778279</v>
      </c>
    </row>
    <row r="26" spans="1:9" x14ac:dyDescent="0.25">
      <c r="A26" s="13" t="s">
        <v>24</v>
      </c>
      <c r="B26" s="14">
        <v>537.84999999999945</v>
      </c>
      <c r="C26" s="14">
        <v>538.73</v>
      </c>
      <c r="D26" s="14">
        <v>718</v>
      </c>
      <c r="E26" s="14">
        <v>688</v>
      </c>
      <c r="F26" s="26">
        <f t="shared" si="0"/>
        <v>0.74909470752089058</v>
      </c>
      <c r="G26" s="26">
        <f t="shared" si="1"/>
        <v>0.78303779069767443</v>
      </c>
      <c r="H26" s="14">
        <f t="shared" si="2"/>
        <v>0.88000000000056389</v>
      </c>
      <c r="I26" s="26">
        <f t="shared" si="3"/>
        <v>1.6361439062946292E-3</v>
      </c>
    </row>
    <row r="27" spans="1:9" x14ac:dyDescent="0.25">
      <c r="A27" s="16" t="s">
        <v>53</v>
      </c>
      <c r="B27" s="17">
        <v>436.17000000000007</v>
      </c>
      <c r="C27" s="17">
        <f>SUM(C28:C36)</f>
        <v>522.12</v>
      </c>
      <c r="D27" s="17">
        <v>667</v>
      </c>
      <c r="E27" s="17">
        <v>725</v>
      </c>
      <c r="F27" s="25">
        <f t="shared" si="0"/>
        <v>0.6539280359820091</v>
      </c>
      <c r="G27" s="25">
        <f t="shared" si="1"/>
        <v>0.72016551724137934</v>
      </c>
      <c r="H27" s="17">
        <f t="shared" si="2"/>
        <v>85.949999999999932</v>
      </c>
      <c r="I27" s="25">
        <f t="shared" si="3"/>
        <v>0.19705619368594784</v>
      </c>
    </row>
    <row r="28" spans="1:9" x14ac:dyDescent="0.25">
      <c r="A28" s="13" t="s">
        <v>34</v>
      </c>
      <c r="B28" s="14">
        <v>3.52</v>
      </c>
      <c r="C28" s="14">
        <v>3.33</v>
      </c>
      <c r="D28" s="14">
        <v>5</v>
      </c>
      <c r="E28" s="14">
        <v>5</v>
      </c>
      <c r="F28" s="26">
        <f t="shared" si="0"/>
        <v>0.70399999999999996</v>
      </c>
      <c r="G28" s="26">
        <f t="shared" si="1"/>
        <v>0.66600000000000004</v>
      </c>
      <c r="H28" s="14">
        <f t="shared" si="2"/>
        <v>-0.18999999999999995</v>
      </c>
      <c r="I28" s="26">
        <f t="shared" si="3"/>
        <v>-5.3977272727272707E-2</v>
      </c>
    </row>
    <row r="29" spans="1:9" x14ac:dyDescent="0.25">
      <c r="A29" s="13" t="s">
        <v>35</v>
      </c>
      <c r="B29" s="14">
        <v>169.97000000000006</v>
      </c>
      <c r="C29" s="14">
        <v>196.06000000000006</v>
      </c>
      <c r="D29" s="14">
        <v>318</v>
      </c>
      <c r="E29" s="14">
        <v>343</v>
      </c>
      <c r="F29" s="26">
        <f t="shared" si="0"/>
        <v>0.53449685534591207</v>
      </c>
      <c r="G29" s="26">
        <f t="shared" si="1"/>
        <v>0.57160349854227421</v>
      </c>
      <c r="H29" s="14">
        <f t="shared" si="2"/>
        <v>26.090000000000003</v>
      </c>
      <c r="I29" s="26">
        <f t="shared" si="3"/>
        <v>0.15349767606048115</v>
      </c>
    </row>
    <row r="30" spans="1:9" x14ac:dyDescent="0.25">
      <c r="A30" s="13" t="s">
        <v>36</v>
      </c>
      <c r="B30" s="14">
        <v>18.670000000000002</v>
      </c>
      <c r="C30" s="14">
        <v>33.440000000000005</v>
      </c>
      <c r="D30" s="14">
        <v>37</v>
      </c>
      <c r="E30" s="14">
        <v>44</v>
      </c>
      <c r="F30" s="26">
        <f t="shared" si="0"/>
        <v>0.50459459459459466</v>
      </c>
      <c r="G30" s="26">
        <f t="shared" si="1"/>
        <v>0.76000000000000012</v>
      </c>
      <c r="H30" s="14">
        <f t="shared" si="2"/>
        <v>14.770000000000003</v>
      </c>
      <c r="I30" s="26">
        <f t="shared" si="3"/>
        <v>0.79110873058382447</v>
      </c>
    </row>
    <row r="31" spans="1:9" x14ac:dyDescent="0.25">
      <c r="A31" s="13" t="s">
        <v>37</v>
      </c>
      <c r="B31" s="14">
        <v>15.810000000000004</v>
      </c>
      <c r="C31" s="14">
        <v>18.28</v>
      </c>
      <c r="D31" s="14">
        <v>16</v>
      </c>
      <c r="E31" s="14">
        <v>18</v>
      </c>
      <c r="F31" s="26">
        <f t="shared" si="0"/>
        <v>0.98812500000000025</v>
      </c>
      <c r="G31" s="26">
        <f t="shared" si="1"/>
        <v>1.0155555555555555</v>
      </c>
      <c r="H31" s="14">
        <f t="shared" si="2"/>
        <v>2.4699999999999971</v>
      </c>
      <c r="I31" s="26">
        <f t="shared" si="3"/>
        <v>0.15623023402909531</v>
      </c>
    </row>
    <row r="32" spans="1:9" x14ac:dyDescent="0.25">
      <c r="A32" s="13" t="s">
        <v>38</v>
      </c>
      <c r="B32" s="14">
        <v>2.38</v>
      </c>
      <c r="C32" s="14">
        <v>2.6199999999999997</v>
      </c>
      <c r="D32" s="14">
        <v>15</v>
      </c>
      <c r="E32" s="14">
        <v>15</v>
      </c>
      <c r="F32" s="26">
        <f t="shared" si="0"/>
        <v>0.15866666666666665</v>
      </c>
      <c r="G32" s="26">
        <f t="shared" si="1"/>
        <v>0.17466666666666664</v>
      </c>
      <c r="H32" s="14">
        <f t="shared" si="2"/>
        <v>0.23999999999999977</v>
      </c>
      <c r="I32" s="26">
        <f t="shared" si="3"/>
        <v>0.10084033613445365</v>
      </c>
    </row>
    <row r="33" spans="1:9" x14ac:dyDescent="0.25">
      <c r="A33" s="13" t="s">
        <v>39</v>
      </c>
      <c r="B33" s="14">
        <v>1.54</v>
      </c>
      <c r="C33" s="14">
        <v>1.54</v>
      </c>
      <c r="D33" s="14">
        <v>1</v>
      </c>
      <c r="E33" s="14">
        <v>1</v>
      </c>
      <c r="F33" s="26">
        <f t="shared" si="0"/>
        <v>1.54</v>
      </c>
      <c r="G33" s="26">
        <f t="shared" si="1"/>
        <v>1.54</v>
      </c>
      <c r="H33" s="14">
        <f t="shared" si="2"/>
        <v>0</v>
      </c>
      <c r="I33" s="26">
        <f t="shared" si="3"/>
        <v>0</v>
      </c>
    </row>
    <row r="34" spans="1:9" x14ac:dyDescent="0.25">
      <c r="A34" s="13" t="s">
        <v>40</v>
      </c>
      <c r="B34" s="14">
        <v>5.49</v>
      </c>
      <c r="C34" s="14">
        <v>5.6800000000000006</v>
      </c>
      <c r="D34" s="14">
        <v>7</v>
      </c>
      <c r="E34" s="14">
        <v>7</v>
      </c>
      <c r="F34" s="26">
        <f t="shared" si="0"/>
        <v>0.78428571428571436</v>
      </c>
      <c r="G34" s="26">
        <f t="shared" si="1"/>
        <v>0.8114285714285715</v>
      </c>
      <c r="H34" s="14">
        <f t="shared" si="2"/>
        <v>0.19000000000000039</v>
      </c>
      <c r="I34" s="26">
        <f t="shared" si="3"/>
        <v>3.4608378870673917E-2</v>
      </c>
    </row>
    <row r="35" spans="1:9" x14ac:dyDescent="0.25">
      <c r="A35" s="13" t="s">
        <v>41</v>
      </c>
      <c r="B35" s="14">
        <v>206.34</v>
      </c>
      <c r="C35" s="14">
        <v>212.26</v>
      </c>
      <c r="D35" s="14">
        <v>239</v>
      </c>
      <c r="E35" s="14">
        <v>245</v>
      </c>
      <c r="F35" s="26">
        <f t="shared" si="0"/>
        <v>0.86334728033472807</v>
      </c>
      <c r="G35" s="26">
        <f t="shared" si="1"/>
        <v>0.86636734693877548</v>
      </c>
      <c r="H35" s="14">
        <f t="shared" si="2"/>
        <v>5.9199999999999875</v>
      </c>
      <c r="I35" s="26">
        <f t="shared" si="3"/>
        <v>2.8690510807405145E-2</v>
      </c>
    </row>
    <row r="36" spans="1:9" x14ac:dyDescent="0.25">
      <c r="A36" s="13" t="s">
        <v>42</v>
      </c>
      <c r="B36" s="14">
        <v>12.45</v>
      </c>
      <c r="C36" s="14">
        <v>48.909999999999989</v>
      </c>
      <c r="D36" s="14">
        <v>29</v>
      </c>
      <c r="E36" s="14">
        <v>47</v>
      </c>
      <c r="F36" s="26">
        <f t="shared" si="0"/>
        <v>0.42931034482758618</v>
      </c>
      <c r="G36" s="26">
        <f t="shared" si="1"/>
        <v>1.0406382978723403</v>
      </c>
      <c r="H36" s="14">
        <f t="shared" si="2"/>
        <v>36.459999999999994</v>
      </c>
      <c r="I36" s="26">
        <f t="shared" si="3"/>
        <v>2.9285140562248988</v>
      </c>
    </row>
    <row r="37" spans="1:9" x14ac:dyDescent="0.25">
      <c r="A37" s="16" t="s">
        <v>52</v>
      </c>
      <c r="B37" s="17">
        <v>1613.5900000000001</v>
      </c>
      <c r="C37" s="17">
        <f>SUM(C38:C42)</f>
        <v>1762.77</v>
      </c>
      <c r="D37" s="17">
        <v>1606</v>
      </c>
      <c r="E37" s="17">
        <v>1740</v>
      </c>
      <c r="F37" s="25">
        <f t="shared" si="0"/>
        <v>1.0047260273972605</v>
      </c>
      <c r="G37" s="25">
        <f t="shared" si="1"/>
        <v>1.0130862068965518</v>
      </c>
      <c r="H37" s="17">
        <f t="shared" si="2"/>
        <v>149.17999999999984</v>
      </c>
      <c r="I37" s="25">
        <f t="shared" si="3"/>
        <v>9.2452233838831388E-2</v>
      </c>
    </row>
    <row r="38" spans="1:9" x14ac:dyDescent="0.25">
      <c r="A38" s="13" t="s">
        <v>29</v>
      </c>
      <c r="B38" s="14">
        <v>830.11000000000013</v>
      </c>
      <c r="C38" s="14">
        <v>906.14999999999975</v>
      </c>
      <c r="D38" s="14">
        <v>837</v>
      </c>
      <c r="E38" s="14">
        <v>906</v>
      </c>
      <c r="F38" s="26">
        <f t="shared" si="0"/>
        <v>0.99176821983273611</v>
      </c>
      <c r="G38" s="26">
        <f t="shared" si="1"/>
        <v>1.000165562913907</v>
      </c>
      <c r="H38" s="14">
        <f t="shared" si="2"/>
        <v>76.039999999999623</v>
      </c>
      <c r="I38" s="26">
        <f t="shared" si="3"/>
        <v>9.1602317765115071E-2</v>
      </c>
    </row>
    <row r="39" spans="1:9" x14ac:dyDescent="0.25">
      <c r="A39" s="13" t="s">
        <v>30</v>
      </c>
      <c r="B39" s="14">
        <v>206.79999999999995</v>
      </c>
      <c r="C39" s="14">
        <v>221.56000000000003</v>
      </c>
      <c r="D39" s="14">
        <v>205</v>
      </c>
      <c r="E39" s="14">
        <v>222</v>
      </c>
      <c r="F39" s="26">
        <f t="shared" si="0"/>
        <v>1.0087804878048778</v>
      </c>
      <c r="G39" s="26">
        <f t="shared" si="1"/>
        <v>0.99801801801801815</v>
      </c>
      <c r="H39" s="14">
        <f t="shared" si="2"/>
        <v>14.760000000000076</v>
      </c>
      <c r="I39" s="26">
        <f t="shared" si="3"/>
        <v>7.1373307543520781E-2</v>
      </c>
    </row>
    <row r="40" spans="1:9" x14ac:dyDescent="0.25">
      <c r="A40" s="13" t="s">
        <v>31</v>
      </c>
      <c r="B40" s="14">
        <v>250.03000000000009</v>
      </c>
      <c r="C40" s="14">
        <v>254.84000000000015</v>
      </c>
      <c r="D40" s="14">
        <v>255</v>
      </c>
      <c r="E40" s="14">
        <v>255</v>
      </c>
      <c r="F40" s="26">
        <f t="shared" si="0"/>
        <v>0.98050980392156895</v>
      </c>
      <c r="G40" s="26">
        <f t="shared" si="1"/>
        <v>0.99937254901960837</v>
      </c>
      <c r="H40" s="14">
        <f t="shared" si="2"/>
        <v>4.8100000000000591</v>
      </c>
      <c r="I40" s="26">
        <f t="shared" si="3"/>
        <v>1.9237691477022922E-2</v>
      </c>
    </row>
    <row r="41" spans="1:9" x14ac:dyDescent="0.25">
      <c r="A41" s="13" t="s">
        <v>32</v>
      </c>
      <c r="B41" s="14">
        <v>34.120000000000012</v>
      </c>
      <c r="C41" s="14">
        <v>52.899999999999984</v>
      </c>
      <c r="D41" s="14">
        <v>34</v>
      </c>
      <c r="E41" s="14">
        <v>53</v>
      </c>
      <c r="F41" s="26">
        <f t="shared" si="0"/>
        <v>1.0035294117647062</v>
      </c>
      <c r="G41" s="26">
        <f t="shared" si="1"/>
        <v>0.99811320754716948</v>
      </c>
      <c r="H41" s="14">
        <f t="shared" si="2"/>
        <v>18.779999999999973</v>
      </c>
      <c r="I41" s="26">
        <f t="shared" si="3"/>
        <v>0.55041031652989347</v>
      </c>
    </row>
    <row r="42" spans="1:9" x14ac:dyDescent="0.25">
      <c r="A42" s="13" t="s">
        <v>33</v>
      </c>
      <c r="B42" s="14">
        <v>292.53000000000003</v>
      </c>
      <c r="C42" s="14">
        <v>327.32</v>
      </c>
      <c r="D42" s="14">
        <v>275</v>
      </c>
      <c r="E42" s="14">
        <v>304</v>
      </c>
      <c r="F42" s="26">
        <f t="shared" si="0"/>
        <v>1.0637454545454545</v>
      </c>
      <c r="G42" s="26">
        <f t="shared" si="1"/>
        <v>1.0767105263157895</v>
      </c>
      <c r="H42" s="14">
        <f t="shared" si="2"/>
        <v>34.789999999999964</v>
      </c>
      <c r="I42" s="26">
        <f t="shared" si="3"/>
        <v>0.1189279731993298</v>
      </c>
    </row>
    <row r="43" spans="1:9" x14ac:dyDescent="0.25">
      <c r="A43" s="16" t="s">
        <v>65</v>
      </c>
      <c r="B43" s="17">
        <v>5.68</v>
      </c>
      <c r="C43" s="17">
        <f>C44</f>
        <v>7.99</v>
      </c>
      <c r="D43" s="17">
        <v>6</v>
      </c>
      <c r="E43" s="17">
        <v>15</v>
      </c>
      <c r="F43" s="25">
        <f t="shared" si="0"/>
        <v>0.94666666666666666</v>
      </c>
      <c r="G43" s="25">
        <f t="shared" si="1"/>
        <v>0.53266666666666673</v>
      </c>
      <c r="H43" s="17">
        <f t="shared" si="2"/>
        <v>2.3100000000000005</v>
      </c>
      <c r="I43" s="25">
        <f t="shared" si="3"/>
        <v>0.40669014084507049</v>
      </c>
    </row>
    <row r="44" spans="1:9" x14ac:dyDescent="0.25">
      <c r="A44" s="13" t="s">
        <v>66</v>
      </c>
      <c r="B44" s="14">
        <v>5.68</v>
      </c>
      <c r="C44" s="14">
        <v>7.99</v>
      </c>
      <c r="D44" s="14">
        <v>6</v>
      </c>
      <c r="E44" s="14">
        <v>15</v>
      </c>
      <c r="F44" s="26">
        <f t="shared" si="0"/>
        <v>0.94666666666666666</v>
      </c>
      <c r="G44" s="26">
        <f t="shared" si="1"/>
        <v>0.53266666666666673</v>
      </c>
      <c r="H44" s="14">
        <f t="shared" si="2"/>
        <v>2.3100000000000005</v>
      </c>
      <c r="I44" s="26">
        <f t="shared" si="3"/>
        <v>0.40669014084507049</v>
      </c>
    </row>
    <row r="45" spans="1:9" x14ac:dyDescent="0.25">
      <c r="A45" s="16" t="s">
        <v>51</v>
      </c>
      <c r="B45" s="17">
        <v>1162.57</v>
      </c>
      <c r="C45" s="17">
        <f>SUM(C46:C49)</f>
        <v>1177.9599999999998</v>
      </c>
      <c r="D45" s="17">
        <v>1071</v>
      </c>
      <c r="E45" s="17">
        <v>1139</v>
      </c>
      <c r="F45" s="25">
        <f t="shared" si="0"/>
        <v>1.085499533146592</v>
      </c>
      <c r="G45" s="25">
        <f t="shared" si="1"/>
        <v>1.0342054433713783</v>
      </c>
      <c r="H45" s="17">
        <f t="shared" si="2"/>
        <v>15.389999999999873</v>
      </c>
      <c r="I45" s="25">
        <f t="shared" si="3"/>
        <v>1.3237912555803089E-2</v>
      </c>
    </row>
    <row r="46" spans="1:9" x14ac:dyDescent="0.25">
      <c r="A46" s="13" t="s">
        <v>25</v>
      </c>
      <c r="B46" s="14">
        <v>101.32000000000001</v>
      </c>
      <c r="C46" s="14">
        <v>108.63999999999996</v>
      </c>
      <c r="D46" s="14">
        <v>111</v>
      </c>
      <c r="E46" s="14">
        <v>108</v>
      </c>
      <c r="F46" s="26">
        <f t="shared" si="0"/>
        <v>0.91279279279279291</v>
      </c>
      <c r="G46" s="26">
        <f t="shared" si="1"/>
        <v>1.0059259259259254</v>
      </c>
      <c r="H46" s="14">
        <f t="shared" si="2"/>
        <v>7.3199999999999505</v>
      </c>
      <c r="I46" s="26">
        <f t="shared" si="3"/>
        <v>7.2246348203710564E-2</v>
      </c>
    </row>
    <row r="47" spans="1:9" x14ac:dyDescent="0.25">
      <c r="A47" s="13" t="s">
        <v>26</v>
      </c>
      <c r="B47" s="14">
        <v>214.89</v>
      </c>
      <c r="C47" s="14">
        <v>226.99000000000007</v>
      </c>
      <c r="D47" s="14">
        <v>164</v>
      </c>
      <c r="E47" s="14">
        <v>234</v>
      </c>
      <c r="F47" s="26">
        <f t="shared" si="0"/>
        <v>1.3103048780487805</v>
      </c>
      <c r="G47" s="26">
        <f t="shared" si="1"/>
        <v>0.9700427350427353</v>
      </c>
      <c r="H47" s="14">
        <f t="shared" si="2"/>
        <v>12.10000000000008</v>
      </c>
      <c r="I47" s="26">
        <f t="shared" si="3"/>
        <v>5.6307878449439519E-2</v>
      </c>
    </row>
    <row r="48" spans="1:9" x14ac:dyDescent="0.25">
      <c r="A48" s="13" t="s">
        <v>27</v>
      </c>
      <c r="B48" s="14">
        <v>592.75</v>
      </c>
      <c r="C48" s="14">
        <v>601.78999999999974</v>
      </c>
      <c r="D48" s="14">
        <v>572</v>
      </c>
      <c r="E48" s="14">
        <v>536</v>
      </c>
      <c r="F48" s="26">
        <f t="shared" si="0"/>
        <v>1.0362762237762237</v>
      </c>
      <c r="G48" s="26">
        <f t="shared" si="1"/>
        <v>1.1227425373134323</v>
      </c>
      <c r="H48" s="14">
        <f t="shared" si="2"/>
        <v>9.0399999999997362</v>
      </c>
      <c r="I48" s="26">
        <f t="shared" si="3"/>
        <v>1.5250948966680333E-2</v>
      </c>
    </row>
    <row r="49" spans="1:9" x14ac:dyDescent="0.25">
      <c r="A49" s="13" t="s">
        <v>28</v>
      </c>
      <c r="B49" s="14">
        <v>253.60999999999999</v>
      </c>
      <c r="C49" s="14">
        <v>240.54</v>
      </c>
      <c r="D49" s="14">
        <v>224</v>
      </c>
      <c r="E49" s="14">
        <v>261</v>
      </c>
      <c r="F49" s="26">
        <f t="shared" si="0"/>
        <v>1.1321874999999999</v>
      </c>
      <c r="G49" s="26">
        <f t="shared" si="1"/>
        <v>0.9216091954022988</v>
      </c>
      <c r="H49" s="14">
        <f t="shared" si="2"/>
        <v>-13.069999999999993</v>
      </c>
      <c r="I49" s="26">
        <f t="shared" si="3"/>
        <v>-5.1535822719924296E-2</v>
      </c>
    </row>
    <row r="50" spans="1:9" x14ac:dyDescent="0.25">
      <c r="A50" s="16" t="s">
        <v>54</v>
      </c>
      <c r="B50" s="17">
        <v>2350.1700000000005</v>
      </c>
      <c r="C50" s="17">
        <f>SUM(C51:C52)</f>
        <v>2366.79</v>
      </c>
      <c r="D50" s="17">
        <v>2089</v>
      </c>
      <c r="E50" s="17">
        <v>2335</v>
      </c>
      <c r="F50" s="25">
        <f t="shared" si="0"/>
        <v>1.1250215414073721</v>
      </c>
      <c r="G50" s="25">
        <f t="shared" si="1"/>
        <v>1.0136145610278373</v>
      </c>
      <c r="H50" s="17">
        <f t="shared" si="2"/>
        <v>16.619999999999436</v>
      </c>
      <c r="I50" s="25">
        <f t="shared" si="3"/>
        <v>7.0718288464235446E-3</v>
      </c>
    </row>
    <row r="51" spans="1:9" x14ac:dyDescent="0.25">
      <c r="A51" s="13" t="s">
        <v>43</v>
      </c>
      <c r="B51" s="14">
        <v>1050.9700000000003</v>
      </c>
      <c r="C51" s="14">
        <v>992.69</v>
      </c>
      <c r="D51" s="14">
        <v>1038</v>
      </c>
      <c r="E51" s="14">
        <v>985</v>
      </c>
      <c r="F51" s="26">
        <f t="shared" si="0"/>
        <v>1.0124951830443163</v>
      </c>
      <c r="G51" s="26">
        <f t="shared" si="1"/>
        <v>1.0078071065989849</v>
      </c>
      <c r="H51" s="14">
        <f t="shared" si="2"/>
        <v>-58.2800000000002</v>
      </c>
      <c r="I51" s="26">
        <f t="shared" si="3"/>
        <v>-5.5453533402475941E-2</v>
      </c>
    </row>
    <row r="52" spans="1:9" x14ac:dyDescent="0.25">
      <c r="A52" s="13" t="s">
        <v>44</v>
      </c>
      <c r="B52" s="14">
        <v>1299.2000000000003</v>
      </c>
      <c r="C52" s="14">
        <v>1374.0999999999997</v>
      </c>
      <c r="D52" s="14">
        <v>1051</v>
      </c>
      <c r="E52" s="14">
        <v>1350</v>
      </c>
      <c r="F52" s="26">
        <f t="shared" si="0"/>
        <v>1.2361560418648909</v>
      </c>
      <c r="G52" s="26">
        <f t="shared" si="1"/>
        <v>1.0178518518518516</v>
      </c>
      <c r="H52" s="14">
        <f t="shared" si="2"/>
        <v>74.899999999999409</v>
      </c>
      <c r="I52" s="26">
        <f t="shared" si="3"/>
        <v>5.7650862068965081E-2</v>
      </c>
    </row>
    <row r="53" spans="1:9" x14ac:dyDescent="0.25">
      <c r="A53" s="16" t="s">
        <v>67</v>
      </c>
      <c r="B53" s="17">
        <v>18.920000000000002</v>
      </c>
      <c r="C53" s="17">
        <f>SUM(C54:C57)</f>
        <v>20.81</v>
      </c>
      <c r="D53" s="17">
        <v>557</v>
      </c>
      <c r="E53" s="17">
        <v>573</v>
      </c>
      <c r="F53" s="25">
        <f t="shared" si="0"/>
        <v>3.3967684021543987E-2</v>
      </c>
      <c r="G53" s="25">
        <f t="shared" si="1"/>
        <v>3.631762652705061E-2</v>
      </c>
      <c r="H53" s="17">
        <f t="shared" si="2"/>
        <v>1.889999999999997</v>
      </c>
      <c r="I53" s="25">
        <f t="shared" si="3"/>
        <v>9.9894291754756726E-2</v>
      </c>
    </row>
    <row r="54" spans="1:9" x14ac:dyDescent="0.25">
      <c r="A54" s="13" t="s">
        <v>68</v>
      </c>
      <c r="B54" s="14">
        <v>2.12</v>
      </c>
      <c r="C54" s="14">
        <v>2.7100000000000004</v>
      </c>
      <c r="D54" s="14">
        <v>133</v>
      </c>
      <c r="E54" s="14">
        <v>135</v>
      </c>
      <c r="F54" s="26">
        <f t="shared" si="0"/>
        <v>1.593984962406015E-2</v>
      </c>
      <c r="G54" s="26">
        <f t="shared" si="1"/>
        <v>2.0074074074074078E-2</v>
      </c>
      <c r="H54" s="14">
        <f t="shared" si="2"/>
        <v>0.5900000000000003</v>
      </c>
      <c r="I54" s="26">
        <f t="shared" si="3"/>
        <v>0.27830188679245293</v>
      </c>
    </row>
    <row r="55" spans="1:9" x14ac:dyDescent="0.25">
      <c r="A55" s="13" t="s">
        <v>69</v>
      </c>
      <c r="B55" s="14">
        <v>13.98</v>
      </c>
      <c r="C55" s="14">
        <v>14.360000000000001</v>
      </c>
      <c r="D55" s="14">
        <v>247</v>
      </c>
      <c r="E55" s="14">
        <v>261</v>
      </c>
      <c r="F55" s="26">
        <f t="shared" si="0"/>
        <v>5.659919028340081E-2</v>
      </c>
      <c r="G55" s="26">
        <f t="shared" si="1"/>
        <v>5.5019157088122612E-2</v>
      </c>
      <c r="H55" s="14">
        <f t="shared" si="2"/>
        <v>0.38000000000000078</v>
      </c>
      <c r="I55" s="26">
        <f t="shared" si="3"/>
        <v>2.7181688125894166E-2</v>
      </c>
    </row>
    <row r="56" spans="1:9" x14ac:dyDescent="0.25">
      <c r="A56" s="13" t="s">
        <v>70</v>
      </c>
      <c r="B56" s="14">
        <v>0.87</v>
      </c>
      <c r="C56" s="14">
        <v>1.06</v>
      </c>
      <c r="D56" s="14">
        <v>142</v>
      </c>
      <c r="E56" s="14">
        <v>140</v>
      </c>
      <c r="F56" s="26">
        <f t="shared" si="0"/>
        <v>6.1267605633802819E-3</v>
      </c>
      <c r="G56" s="26">
        <f t="shared" si="1"/>
        <v>7.5714285714285718E-3</v>
      </c>
      <c r="H56" s="14">
        <f t="shared" si="2"/>
        <v>0.19000000000000006</v>
      </c>
      <c r="I56" s="26">
        <f t="shared" si="3"/>
        <v>0.21839080459770122</v>
      </c>
    </row>
    <row r="57" spans="1:9" x14ac:dyDescent="0.25">
      <c r="A57" s="13" t="s">
        <v>71</v>
      </c>
      <c r="B57" s="14">
        <v>1.9500000000000002</v>
      </c>
      <c r="C57" s="14">
        <v>2.6799999999999997</v>
      </c>
      <c r="D57" s="14">
        <v>35</v>
      </c>
      <c r="E57" s="14">
        <v>37</v>
      </c>
      <c r="F57" s="26">
        <f t="shared" si="0"/>
        <v>5.5714285714285716E-2</v>
      </c>
      <c r="G57" s="26">
        <f t="shared" si="1"/>
        <v>7.2432432432432428E-2</v>
      </c>
      <c r="H57" s="14">
        <f t="shared" si="2"/>
        <v>0.72999999999999954</v>
      </c>
      <c r="I57" s="26">
        <f t="shared" si="3"/>
        <v>0.37435897435897414</v>
      </c>
    </row>
    <row r="58" spans="1:9" x14ac:dyDescent="0.25">
      <c r="A58" s="16" t="s">
        <v>87</v>
      </c>
      <c r="B58" s="17">
        <v>2.5499999999999998</v>
      </c>
      <c r="C58" s="17">
        <f>C59</f>
        <v>2.94</v>
      </c>
      <c r="D58" s="17">
        <v>11</v>
      </c>
      <c r="E58" s="17">
        <v>11</v>
      </c>
      <c r="F58" s="25">
        <f t="shared" si="0"/>
        <v>0.23181818181818181</v>
      </c>
      <c r="G58" s="25">
        <f t="shared" si="1"/>
        <v>0.26727272727272727</v>
      </c>
      <c r="H58" s="17">
        <f t="shared" si="2"/>
        <v>0.39000000000000012</v>
      </c>
      <c r="I58" s="25">
        <f t="shared" si="3"/>
        <v>0.15294117647058836</v>
      </c>
    </row>
    <row r="59" spans="1:9" x14ac:dyDescent="0.25">
      <c r="A59" s="13" t="s">
        <v>76</v>
      </c>
      <c r="B59" s="14">
        <v>2.5499999999999998</v>
      </c>
      <c r="C59" s="14">
        <v>2.94</v>
      </c>
      <c r="D59" s="14">
        <v>11</v>
      </c>
      <c r="E59" s="14">
        <v>11</v>
      </c>
      <c r="F59" s="26">
        <f t="shared" si="0"/>
        <v>0.23181818181818181</v>
      </c>
      <c r="G59" s="26">
        <f t="shared" si="1"/>
        <v>0.26727272727272727</v>
      </c>
      <c r="H59" s="14">
        <f t="shared" si="2"/>
        <v>0.39000000000000012</v>
      </c>
      <c r="I59" s="26">
        <f t="shared" si="3"/>
        <v>0.15294117647058836</v>
      </c>
    </row>
    <row r="60" spans="1:9" x14ac:dyDescent="0.25">
      <c r="A60" s="16" t="s">
        <v>79</v>
      </c>
      <c r="B60" s="17"/>
      <c r="C60" s="17"/>
      <c r="D60" s="17">
        <v>9</v>
      </c>
      <c r="E60" s="17">
        <v>9</v>
      </c>
      <c r="F60" s="25">
        <f t="shared" si="0"/>
        <v>0</v>
      </c>
      <c r="G60" s="25">
        <f t="shared" si="1"/>
        <v>0</v>
      </c>
      <c r="H60" s="17">
        <f t="shared" si="2"/>
        <v>0</v>
      </c>
      <c r="I60" s="25" t="str">
        <f t="shared" si="3"/>
        <v/>
      </c>
    </row>
    <row r="61" spans="1:9" x14ac:dyDescent="0.25">
      <c r="A61" s="13" t="s">
        <v>82</v>
      </c>
      <c r="B61" s="14"/>
      <c r="C61" s="14"/>
      <c r="D61" s="14">
        <v>8</v>
      </c>
      <c r="E61" s="14">
        <v>8</v>
      </c>
      <c r="F61" s="26">
        <f t="shared" si="0"/>
        <v>0</v>
      </c>
      <c r="G61" s="26">
        <f t="shared" si="1"/>
        <v>0</v>
      </c>
      <c r="H61" s="14">
        <f t="shared" si="2"/>
        <v>0</v>
      </c>
      <c r="I61" s="26" t="str">
        <f t="shared" si="3"/>
        <v/>
      </c>
    </row>
    <row r="62" spans="1:9" x14ac:dyDescent="0.25">
      <c r="A62" s="13" t="s">
        <v>84</v>
      </c>
      <c r="B62" s="14"/>
      <c r="C62" s="14"/>
      <c r="D62" s="14">
        <v>1</v>
      </c>
      <c r="E62" s="14">
        <v>1</v>
      </c>
      <c r="F62" s="26">
        <f t="shared" si="0"/>
        <v>0</v>
      </c>
      <c r="G62" s="26">
        <f t="shared" si="1"/>
        <v>0</v>
      </c>
      <c r="H62" s="14">
        <f t="shared" si="2"/>
        <v>0</v>
      </c>
      <c r="I62" s="26" t="str">
        <f t="shared" si="3"/>
        <v/>
      </c>
    </row>
    <row r="63" spans="1:9" x14ac:dyDescent="0.25">
      <c r="A63" s="16" t="s">
        <v>55</v>
      </c>
      <c r="B63" s="17">
        <v>168.61000000000004</v>
      </c>
      <c r="C63" s="17">
        <f>C64</f>
        <v>169.71000000000004</v>
      </c>
      <c r="D63" s="17">
        <v>448</v>
      </c>
      <c r="E63" s="17">
        <v>449</v>
      </c>
      <c r="F63" s="25">
        <f t="shared" si="0"/>
        <v>0.37636160714285721</v>
      </c>
      <c r="G63" s="25">
        <f t="shared" si="1"/>
        <v>0.37797327394209362</v>
      </c>
      <c r="H63" s="17">
        <f t="shared" si="2"/>
        <v>1.0999999999999943</v>
      </c>
      <c r="I63" s="25">
        <f t="shared" si="3"/>
        <v>6.5239309649487431E-3</v>
      </c>
    </row>
    <row r="64" spans="1:9" x14ac:dyDescent="0.25">
      <c r="A64" s="13" t="s">
        <v>45</v>
      </c>
      <c r="B64" s="14">
        <v>168.61000000000004</v>
      </c>
      <c r="C64" s="14">
        <v>169.71000000000004</v>
      </c>
      <c r="D64" s="14">
        <v>448</v>
      </c>
      <c r="E64" s="14">
        <v>449</v>
      </c>
      <c r="F64" s="26">
        <f t="shared" si="0"/>
        <v>0.37636160714285721</v>
      </c>
      <c r="G64" s="26">
        <f t="shared" si="1"/>
        <v>0.37797327394209362</v>
      </c>
      <c r="H64" s="14">
        <f t="shared" si="2"/>
        <v>1.0999999999999943</v>
      </c>
      <c r="I64" s="26">
        <f t="shared" si="3"/>
        <v>6.5239309649487431E-3</v>
      </c>
    </row>
    <row r="65" spans="1:9" x14ac:dyDescent="0.25">
      <c r="A65" s="16" t="s">
        <v>80</v>
      </c>
      <c r="B65" s="17">
        <v>3.08</v>
      </c>
      <c r="C65" s="17">
        <f>C66</f>
        <v>3.87</v>
      </c>
      <c r="D65" s="17">
        <v>14</v>
      </c>
      <c r="E65" s="17">
        <v>7</v>
      </c>
      <c r="F65" s="25">
        <f t="shared" si="0"/>
        <v>0.22</v>
      </c>
      <c r="G65" s="25">
        <f t="shared" si="1"/>
        <v>0.55285714285714282</v>
      </c>
      <c r="H65" s="17">
        <f t="shared" si="2"/>
        <v>0.79</v>
      </c>
      <c r="I65" s="25">
        <f t="shared" si="3"/>
        <v>0.25649350649350655</v>
      </c>
    </row>
    <row r="66" spans="1:9" x14ac:dyDescent="0.25">
      <c r="A66" s="13" t="s">
        <v>81</v>
      </c>
      <c r="B66" s="14">
        <v>3.08</v>
      </c>
      <c r="C66" s="14">
        <v>3.87</v>
      </c>
      <c r="D66" s="14">
        <v>14</v>
      </c>
      <c r="E66" s="14">
        <v>7</v>
      </c>
      <c r="F66" s="26">
        <f t="shared" si="0"/>
        <v>0.22</v>
      </c>
      <c r="G66" s="26">
        <f t="shared" si="1"/>
        <v>0.55285714285714282</v>
      </c>
      <c r="H66" s="14">
        <f t="shared" si="2"/>
        <v>0.79</v>
      </c>
      <c r="I66" s="26">
        <f t="shared" si="3"/>
        <v>0.25649350649350655</v>
      </c>
    </row>
    <row r="67" spans="1:9" x14ac:dyDescent="0.25">
      <c r="A67" s="16" t="s">
        <v>56</v>
      </c>
      <c r="B67" s="17">
        <v>91.379999999999981</v>
      </c>
      <c r="C67" s="17">
        <f>C68</f>
        <v>91.420000000000016</v>
      </c>
      <c r="D67" s="17">
        <v>230</v>
      </c>
      <c r="E67" s="17">
        <v>232</v>
      </c>
      <c r="F67" s="25">
        <f t="shared" si="0"/>
        <v>0.39730434782608687</v>
      </c>
      <c r="G67" s="25">
        <f t="shared" si="1"/>
        <v>0.3940517241379311</v>
      </c>
      <c r="H67" s="17">
        <f t="shared" si="2"/>
        <v>4.0000000000034674E-2</v>
      </c>
      <c r="I67" s="25">
        <f t="shared" si="3"/>
        <v>4.3773254541523698E-4</v>
      </c>
    </row>
    <row r="68" spans="1:9" x14ac:dyDescent="0.25">
      <c r="A68" s="13" t="s">
        <v>46</v>
      </c>
      <c r="B68" s="14">
        <v>91.379999999999981</v>
      </c>
      <c r="C68" s="14">
        <v>91.420000000000016</v>
      </c>
      <c r="D68" s="14">
        <v>230</v>
      </c>
      <c r="E68" s="14">
        <v>232</v>
      </c>
      <c r="F68" s="26">
        <f t="shared" si="0"/>
        <v>0.39730434782608687</v>
      </c>
      <c r="G68" s="26">
        <f t="shared" si="1"/>
        <v>0.3940517241379311</v>
      </c>
      <c r="H68" s="14">
        <f t="shared" si="2"/>
        <v>4.0000000000034674E-2</v>
      </c>
      <c r="I68" s="26">
        <f t="shared" si="3"/>
        <v>4.3773254541523698E-4</v>
      </c>
    </row>
    <row r="69" spans="1:9" x14ac:dyDescent="0.25">
      <c r="A69" s="16" t="s">
        <v>57</v>
      </c>
      <c r="B69" s="17">
        <v>166.96000000000006</v>
      </c>
      <c r="C69" s="17">
        <f>C70</f>
        <v>182.12999999999994</v>
      </c>
      <c r="D69" s="17">
        <v>284</v>
      </c>
      <c r="E69" s="17">
        <v>308</v>
      </c>
      <c r="F69" s="25">
        <f t="shared" si="0"/>
        <v>0.58788732394366217</v>
      </c>
      <c r="G69" s="25">
        <f t="shared" si="1"/>
        <v>0.59133116883116865</v>
      </c>
      <c r="H69" s="17">
        <f t="shared" si="2"/>
        <v>15.169999999999874</v>
      </c>
      <c r="I69" s="25">
        <f t="shared" si="3"/>
        <v>9.0860086248202299E-2</v>
      </c>
    </row>
    <row r="70" spans="1:9" x14ac:dyDescent="0.25">
      <c r="A70" s="13" t="s">
        <v>47</v>
      </c>
      <c r="B70" s="14">
        <v>166.96000000000006</v>
      </c>
      <c r="C70" s="14">
        <v>182.12999999999994</v>
      </c>
      <c r="D70" s="14">
        <v>284</v>
      </c>
      <c r="E70" s="14">
        <v>308</v>
      </c>
      <c r="F70" s="26">
        <f t="shared" si="0"/>
        <v>0.58788732394366217</v>
      </c>
      <c r="G70" s="26">
        <f t="shared" si="1"/>
        <v>0.59133116883116865</v>
      </c>
      <c r="H70" s="14">
        <f t="shared" si="2"/>
        <v>15.169999999999874</v>
      </c>
      <c r="I70" s="26">
        <f t="shared" si="3"/>
        <v>9.0860086248202299E-2</v>
      </c>
    </row>
    <row r="71" spans="1:9" x14ac:dyDescent="0.25">
      <c r="A71" s="16" t="s">
        <v>86</v>
      </c>
      <c r="B71" s="17">
        <v>85.519999999999982</v>
      </c>
      <c r="C71" s="17">
        <f>SUM(C72:C74)</f>
        <v>95.81</v>
      </c>
      <c r="D71" s="17">
        <v>148</v>
      </c>
      <c r="E71" s="17">
        <v>154</v>
      </c>
      <c r="F71" s="25">
        <f t="shared" si="0"/>
        <v>0.57783783783783771</v>
      </c>
      <c r="G71" s="25">
        <f t="shared" si="1"/>
        <v>0.62214285714285711</v>
      </c>
      <c r="H71" s="17">
        <f t="shared" si="2"/>
        <v>10.29000000000002</v>
      </c>
      <c r="I71" s="25">
        <f t="shared" si="3"/>
        <v>0.12032273152478989</v>
      </c>
    </row>
    <row r="72" spans="1:9" x14ac:dyDescent="0.25">
      <c r="A72" s="13" t="s">
        <v>48</v>
      </c>
      <c r="B72" s="14">
        <v>20.369999999999994</v>
      </c>
      <c r="C72" s="14">
        <v>23.330000000000005</v>
      </c>
      <c r="D72" s="14">
        <v>21</v>
      </c>
      <c r="E72" s="14">
        <v>23</v>
      </c>
      <c r="F72" s="26">
        <f t="shared" si="0"/>
        <v>0.96999999999999975</v>
      </c>
      <c r="G72" s="26">
        <f t="shared" si="1"/>
        <v>1.0143478260869567</v>
      </c>
      <c r="H72" s="14">
        <f t="shared" si="2"/>
        <v>2.9600000000000115</v>
      </c>
      <c r="I72" s="26">
        <f t="shared" si="3"/>
        <v>0.14531173294059951</v>
      </c>
    </row>
    <row r="73" spans="1:9" x14ac:dyDescent="0.25">
      <c r="A73" s="13" t="s">
        <v>72</v>
      </c>
      <c r="B73" s="14">
        <v>60.309999999999981</v>
      </c>
      <c r="C73" s="14">
        <v>68.48</v>
      </c>
      <c r="D73" s="14">
        <v>63</v>
      </c>
      <c r="E73" s="14">
        <v>67</v>
      </c>
      <c r="F73" s="26">
        <f t="shared" ref="F73:G75" si="6">IFERROR(B73/D73,"")</f>
        <v>0.95730158730158699</v>
      </c>
      <c r="G73" s="26">
        <f t="shared" si="6"/>
        <v>1.022089552238806</v>
      </c>
      <c r="H73" s="14">
        <f>IFERROR(C73-B73,"")</f>
        <v>8.170000000000023</v>
      </c>
      <c r="I73" s="26">
        <f>IFERROR((C73/B73)-1,"")</f>
        <v>0.13546675509865747</v>
      </c>
    </row>
    <row r="74" spans="1:9" x14ac:dyDescent="0.25">
      <c r="A74" s="13" t="s">
        <v>73</v>
      </c>
      <c r="B74" s="14">
        <v>4.84</v>
      </c>
      <c r="C74" s="14">
        <v>4</v>
      </c>
      <c r="D74" s="14">
        <v>64</v>
      </c>
      <c r="E74" s="14">
        <v>64</v>
      </c>
      <c r="F74" s="26">
        <f t="shared" si="6"/>
        <v>7.5624999999999998E-2</v>
      </c>
      <c r="G74" s="26">
        <f t="shared" si="6"/>
        <v>6.25E-2</v>
      </c>
      <c r="H74" s="14">
        <f>IFERROR(C74-B74,"")</f>
        <v>-0.83999999999999986</v>
      </c>
      <c r="I74" s="26">
        <f>IFERROR((C74/B74)-1,"")</f>
        <v>-0.17355371900826444</v>
      </c>
    </row>
    <row r="75" spans="1:9" x14ac:dyDescent="0.25">
      <c r="A75" s="32" t="s">
        <v>59</v>
      </c>
      <c r="B75" s="19">
        <v>8899.6900000000023</v>
      </c>
      <c r="C75" s="19">
        <v>9551.43</v>
      </c>
      <c r="D75" s="19">
        <v>11444</v>
      </c>
      <c r="E75" s="19">
        <v>12290</v>
      </c>
      <c r="F75" s="27">
        <f t="shared" si="6"/>
        <v>0.77767301642782261</v>
      </c>
      <c r="G75" s="27">
        <f t="shared" si="6"/>
        <v>0.77717087062652568</v>
      </c>
      <c r="H75" s="19">
        <f>IFERROR(C75-B75,"")</f>
        <v>651.73999999999796</v>
      </c>
      <c r="I75" s="27">
        <f>IFERROR((C75/B75)-1,"")</f>
        <v>7.3231764252462472E-2</v>
      </c>
    </row>
  </sheetData>
  <mergeCells count="6">
    <mergeCell ref="H6:I6"/>
    <mergeCell ref="A5:B5"/>
    <mergeCell ref="A6:A7"/>
    <mergeCell ref="B6:C6"/>
    <mergeCell ref="D6:E6"/>
    <mergeCell ref="F6:G6"/>
  </mergeCells>
  <conditionalFormatting sqref="H8:I75">
    <cfRule type="cellIs" dxfId="0" priority="1" operator="lessThan">
      <formula>0</formula>
    </cfRule>
  </conditionalFormatting>
  <hyperlinks>
    <hyperlink ref="D1" location="INDICE!A1" display="INDIC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5"/>
  <sheetViews>
    <sheetView topLeftCell="A25" workbookViewId="0">
      <pane xSplit="1" topLeftCell="AF1" activePane="topRight" state="frozen"/>
      <selection activeCell="A22" sqref="A22"/>
      <selection pane="topRight" activeCell="D1" sqref="D1"/>
    </sheetView>
  </sheetViews>
  <sheetFormatPr baseColWidth="10" defaultRowHeight="15" x14ac:dyDescent="0.25"/>
  <cols>
    <col min="1" max="1" width="25.140625" customWidth="1"/>
    <col min="2" max="23" width="10.85546875" customWidth="1"/>
    <col min="24" max="24" width="17.42578125" customWidth="1"/>
    <col min="25" max="25" width="15.5703125" customWidth="1"/>
    <col min="26" max="26" width="15.85546875" customWidth="1"/>
    <col min="27" max="27" width="7.42578125" style="185" customWidth="1"/>
    <col min="28" max="28" width="13.85546875" customWidth="1"/>
    <col min="29" max="29" width="16.42578125" customWidth="1"/>
    <col min="30" max="30" width="12.140625" customWidth="1"/>
    <col min="31" max="31" width="14" customWidth="1"/>
    <col min="32" max="33" width="12.140625" customWidth="1"/>
    <col min="34" max="34" width="10.85546875" customWidth="1"/>
    <col min="35" max="35" width="13.85546875" customWidth="1"/>
    <col min="36" max="36" width="19.85546875" customWidth="1"/>
    <col min="37" max="37" width="10.85546875" customWidth="1"/>
    <col min="38" max="38" width="11.5703125" customWidth="1"/>
    <col min="39" max="40" width="10.85546875" customWidth="1"/>
  </cols>
  <sheetData>
    <row r="1" spans="1:35" x14ac:dyDescent="0.25">
      <c r="C1" s="2" t="s">
        <v>0</v>
      </c>
      <c r="D1" s="176" t="s">
        <v>1</v>
      </c>
      <c r="E1" s="2" t="s">
        <v>224</v>
      </c>
      <c r="F1" t="s">
        <v>321</v>
      </c>
    </row>
    <row r="2" spans="1:35" ht="18.75" x14ac:dyDescent="0.3">
      <c r="A2" s="39" t="s">
        <v>6</v>
      </c>
      <c r="D2" s="33"/>
      <c r="Z2" s="35"/>
    </row>
    <row r="3" spans="1:35" ht="60" customHeight="1" x14ac:dyDescent="0.25">
      <c r="A3" s="36" t="s">
        <v>2</v>
      </c>
      <c r="B3" s="37" t="s">
        <v>281</v>
      </c>
      <c r="C3" s="37">
        <v>2000</v>
      </c>
      <c r="D3" s="37">
        <v>2001</v>
      </c>
      <c r="E3" s="37">
        <v>2002</v>
      </c>
      <c r="F3" s="37">
        <v>2003</v>
      </c>
      <c r="G3" s="37">
        <v>2004</v>
      </c>
      <c r="H3" s="37">
        <v>2005</v>
      </c>
      <c r="I3" s="37">
        <v>2006</v>
      </c>
      <c r="J3" s="37">
        <v>2007</v>
      </c>
      <c r="K3" s="37">
        <v>2008</v>
      </c>
      <c r="L3" s="37">
        <v>2009</v>
      </c>
      <c r="M3" s="37">
        <v>2010</v>
      </c>
      <c r="N3" s="37">
        <v>2011</v>
      </c>
      <c r="O3" s="37">
        <v>2012</v>
      </c>
      <c r="P3" s="37">
        <v>2013</v>
      </c>
      <c r="Q3" s="37">
        <v>2014</v>
      </c>
      <c r="R3" s="37">
        <v>2015</v>
      </c>
      <c r="S3" s="37">
        <v>2016</v>
      </c>
      <c r="T3" s="37">
        <v>2017</v>
      </c>
      <c r="U3" s="37">
        <v>2018</v>
      </c>
      <c r="V3" s="37">
        <v>2019</v>
      </c>
      <c r="W3" s="37">
        <v>2020</v>
      </c>
      <c r="X3" s="36" t="s">
        <v>280</v>
      </c>
      <c r="Y3" s="36" t="s">
        <v>90</v>
      </c>
      <c r="Z3" s="188" t="s">
        <v>91</v>
      </c>
      <c r="AA3" s="186"/>
      <c r="AB3" s="196" t="s">
        <v>250</v>
      </c>
      <c r="AC3" s="196" t="s">
        <v>251</v>
      </c>
      <c r="AD3" s="196" t="s">
        <v>252</v>
      </c>
      <c r="AE3" s="196" t="s">
        <v>253</v>
      </c>
      <c r="AF3" s="196" t="s">
        <v>103</v>
      </c>
      <c r="AG3" s="196" t="s">
        <v>254</v>
      </c>
    </row>
    <row r="4" spans="1:35" x14ac:dyDescent="0.25">
      <c r="A4" s="44" t="s">
        <v>49</v>
      </c>
      <c r="B4" s="45">
        <v>69364.229999999981</v>
      </c>
      <c r="C4" s="45">
        <v>9830.34</v>
      </c>
      <c r="D4" s="45">
        <v>1055.6000000000001</v>
      </c>
      <c r="E4" s="45">
        <v>1665.89</v>
      </c>
      <c r="F4" s="45">
        <v>1187.71</v>
      </c>
      <c r="G4" s="45">
        <v>2470.8199999999993</v>
      </c>
      <c r="H4" s="45">
        <v>2679.7200000000003</v>
      </c>
      <c r="I4" s="45">
        <v>1758.2500000000005</v>
      </c>
      <c r="J4" s="45">
        <v>2624.3300000000004</v>
      </c>
      <c r="K4" s="45">
        <v>1327.2999999999997</v>
      </c>
      <c r="L4" s="45">
        <v>1976.6099999999997</v>
      </c>
      <c r="M4" s="45">
        <v>1771.1799999999998</v>
      </c>
      <c r="N4" s="45">
        <v>680.79000000000019</v>
      </c>
      <c r="O4" s="45">
        <v>1375.1200000000001</v>
      </c>
      <c r="P4" s="45">
        <v>1643.3200000000002</v>
      </c>
      <c r="Q4" s="45">
        <v>3590.9599999999996</v>
      </c>
      <c r="R4" s="45">
        <v>6474.68</v>
      </c>
      <c r="S4" s="45">
        <v>8085.9699999999984</v>
      </c>
      <c r="T4" s="45">
        <v>8136.2199999999993</v>
      </c>
      <c r="U4" s="45">
        <v>5170.6600000000008</v>
      </c>
      <c r="V4" s="45">
        <v>5225.4699999999993</v>
      </c>
      <c r="W4" s="45">
        <v>4063.9000000000005</v>
      </c>
      <c r="X4" s="45">
        <v>82.52000000000001</v>
      </c>
      <c r="Y4" s="45">
        <f>SUM(B4:X4)</f>
        <v>142241.58999999997</v>
      </c>
      <c r="Z4" s="189">
        <f>Y4/$Y$57</f>
        <v>0.29292145626712396</v>
      </c>
      <c r="AA4" s="168"/>
      <c r="AB4" s="197">
        <f t="shared" ref="AB4:AB35" si="0">SUM(B4:S4)</f>
        <v>119562.81999999998</v>
      </c>
      <c r="AC4" s="197">
        <f t="shared" ref="AC4:AC35" si="1">SUM(T4:W4)</f>
        <v>22596.25</v>
      </c>
      <c r="AD4" s="197">
        <f t="shared" ref="AD4:AD35" si="2">X4</f>
        <v>82.52000000000001</v>
      </c>
      <c r="AE4" s="197">
        <v>274.32999999999993</v>
      </c>
      <c r="AF4" s="197">
        <f>AB4+AC4+AD4+AE4</f>
        <v>142515.91999999995</v>
      </c>
      <c r="AG4" s="189">
        <f>AC4/AF4</f>
        <v>0.15855246206879911</v>
      </c>
    </row>
    <row r="5" spans="1:35" x14ac:dyDescent="0.25">
      <c r="A5" s="13" t="s">
        <v>11</v>
      </c>
      <c r="B5" s="14">
        <v>24721.590000000011</v>
      </c>
      <c r="C5" s="14">
        <v>4419.6900000000005</v>
      </c>
      <c r="D5" s="14">
        <v>468.61999999999995</v>
      </c>
      <c r="E5" s="14">
        <v>634.09999999999991</v>
      </c>
      <c r="F5" s="14">
        <v>472.19</v>
      </c>
      <c r="G5" s="14">
        <v>916.9899999999999</v>
      </c>
      <c r="H5" s="14">
        <v>1074.92</v>
      </c>
      <c r="I5" s="14">
        <v>388.55</v>
      </c>
      <c r="J5" s="14">
        <v>600.23000000000013</v>
      </c>
      <c r="K5" s="14">
        <v>318.85999999999996</v>
      </c>
      <c r="L5" s="14">
        <v>800.42</v>
      </c>
      <c r="M5" s="14">
        <v>555.19999999999982</v>
      </c>
      <c r="N5" s="14">
        <v>176.91000000000003</v>
      </c>
      <c r="O5" s="14">
        <v>319.5200000000001</v>
      </c>
      <c r="P5" s="14">
        <v>316.11</v>
      </c>
      <c r="Q5" s="14">
        <v>762.9</v>
      </c>
      <c r="R5" s="14">
        <v>1165.26</v>
      </c>
      <c r="S5" s="14">
        <v>1436.0400000000002</v>
      </c>
      <c r="T5" s="14">
        <v>1209.6599999999999</v>
      </c>
      <c r="U5" s="14">
        <v>1055.8800000000001</v>
      </c>
      <c r="V5" s="14">
        <v>1055.9099999999999</v>
      </c>
      <c r="W5" s="14">
        <v>519.74</v>
      </c>
      <c r="X5" s="14">
        <v>16.510000000000002</v>
      </c>
      <c r="Y5" s="109">
        <f t="shared" ref="Y5:Y56" si="3">SUM(B5:X5)</f>
        <v>43405.800000000017</v>
      </c>
      <c r="Z5" s="190">
        <f t="shared" ref="Z5:Z41" si="4">Y5/$Y$57</f>
        <v>8.9386586204776936E-2</v>
      </c>
      <c r="AA5" s="91"/>
      <c r="AB5" s="198">
        <f t="shared" si="0"/>
        <v>39548.10000000002</v>
      </c>
      <c r="AC5" s="198">
        <f t="shared" si="1"/>
        <v>3841.1899999999996</v>
      </c>
      <c r="AD5" s="198">
        <f t="shared" si="2"/>
        <v>16.510000000000002</v>
      </c>
      <c r="AE5" s="198">
        <v>62</v>
      </c>
      <c r="AF5" s="198">
        <f t="shared" ref="AF5:AF56" si="5">AB5+AC5+AD5+AE5</f>
        <v>43467.800000000025</v>
      </c>
      <c r="AG5" s="190">
        <f t="shared" ref="AG5:AG57" si="6">AC5/AF5</f>
        <v>8.836863149273709E-2</v>
      </c>
    </row>
    <row r="6" spans="1:35" x14ac:dyDescent="0.25">
      <c r="A6" s="13" t="s">
        <v>12</v>
      </c>
      <c r="B6" s="14">
        <v>62.959999999999994</v>
      </c>
      <c r="C6" s="14">
        <v>0.02</v>
      </c>
      <c r="D6" s="14"/>
      <c r="E6" s="14">
        <v>1.38</v>
      </c>
      <c r="F6" s="14"/>
      <c r="G6" s="14">
        <v>1.9</v>
      </c>
      <c r="H6" s="14">
        <v>0.05</v>
      </c>
      <c r="I6" s="14"/>
      <c r="J6" s="14">
        <v>27.37</v>
      </c>
      <c r="K6" s="14">
        <v>4.34</v>
      </c>
      <c r="L6" s="14">
        <v>0.54</v>
      </c>
      <c r="M6" s="14">
        <v>8.84</v>
      </c>
      <c r="N6" s="14">
        <v>0.3</v>
      </c>
      <c r="O6" s="14">
        <v>0.21</v>
      </c>
      <c r="P6" s="14">
        <v>19.399999999999999</v>
      </c>
      <c r="Q6" s="14">
        <v>23.169999999999998</v>
      </c>
      <c r="R6" s="14">
        <v>69.19</v>
      </c>
      <c r="S6" s="14">
        <v>76.840000000000018</v>
      </c>
      <c r="T6" s="14">
        <v>154.87</v>
      </c>
      <c r="U6" s="14">
        <v>28.86</v>
      </c>
      <c r="V6" s="14">
        <v>80.48</v>
      </c>
      <c r="W6" s="14">
        <v>198.78</v>
      </c>
      <c r="X6" s="14">
        <v>0.22</v>
      </c>
      <c r="Y6" s="109">
        <f t="shared" si="3"/>
        <v>759.72</v>
      </c>
      <c r="Z6" s="190">
        <f t="shared" si="4"/>
        <v>1.5645092884244297E-3</v>
      </c>
      <c r="AA6" s="91"/>
      <c r="AB6" s="198">
        <f t="shared" si="0"/>
        <v>296.51</v>
      </c>
      <c r="AC6" s="198">
        <f t="shared" si="1"/>
        <v>462.99</v>
      </c>
      <c r="AD6" s="198">
        <f t="shared" si="2"/>
        <v>0.22</v>
      </c>
      <c r="AE6" s="198">
        <v>0.13</v>
      </c>
      <c r="AF6" s="198">
        <f t="shared" si="5"/>
        <v>759.85</v>
      </c>
      <c r="AG6" s="190">
        <f t="shared" si="6"/>
        <v>0.60931762847930515</v>
      </c>
    </row>
    <row r="7" spans="1:35" x14ac:dyDescent="0.25">
      <c r="A7" s="13" t="s">
        <v>13</v>
      </c>
      <c r="B7" s="14">
        <v>301.17999999999995</v>
      </c>
      <c r="C7" s="14">
        <v>8.879999999999999</v>
      </c>
      <c r="D7" s="14">
        <v>10.139999999999999</v>
      </c>
      <c r="E7" s="14">
        <v>48.829999999999991</v>
      </c>
      <c r="F7" s="14"/>
      <c r="G7" s="14">
        <v>2.78</v>
      </c>
      <c r="H7" s="14">
        <v>1.05</v>
      </c>
      <c r="I7" s="14"/>
      <c r="J7" s="14">
        <v>47.08</v>
      </c>
      <c r="K7" s="14"/>
      <c r="L7" s="14">
        <v>23.89</v>
      </c>
      <c r="M7" s="14">
        <v>18.389999999999997</v>
      </c>
      <c r="N7" s="14">
        <v>22.660000000000004</v>
      </c>
      <c r="O7" s="14"/>
      <c r="P7" s="14">
        <v>43.800000000000004</v>
      </c>
      <c r="Q7" s="14">
        <v>50.75</v>
      </c>
      <c r="R7" s="14">
        <v>300.07</v>
      </c>
      <c r="S7" s="14">
        <v>330.03999999999996</v>
      </c>
      <c r="T7" s="14">
        <v>275.85000000000002</v>
      </c>
      <c r="U7" s="14">
        <v>230.59000000000003</v>
      </c>
      <c r="V7" s="14">
        <v>1149.2400000000002</v>
      </c>
      <c r="W7" s="14">
        <v>990.54</v>
      </c>
      <c r="X7" s="14">
        <v>0.65999999999999992</v>
      </c>
      <c r="Y7" s="109">
        <f t="shared" si="3"/>
        <v>3856.42</v>
      </c>
      <c r="Z7" s="190">
        <f t="shared" si="4"/>
        <v>7.9416165298606574E-3</v>
      </c>
      <c r="AA7" s="91"/>
      <c r="AB7" s="198">
        <f t="shared" si="0"/>
        <v>1209.5399999999997</v>
      </c>
      <c r="AC7" s="198">
        <f t="shared" si="1"/>
        <v>2646.2200000000003</v>
      </c>
      <c r="AD7" s="198">
        <f t="shared" si="2"/>
        <v>0.65999999999999992</v>
      </c>
      <c r="AE7" s="198">
        <v>3.05</v>
      </c>
      <c r="AF7" s="198">
        <f t="shared" si="5"/>
        <v>3859.4700000000003</v>
      </c>
      <c r="AG7" s="190">
        <f t="shared" si="6"/>
        <v>0.68564336553982808</v>
      </c>
    </row>
    <row r="8" spans="1:35" x14ac:dyDescent="0.25">
      <c r="A8" s="13" t="s">
        <v>14</v>
      </c>
      <c r="B8" s="14">
        <v>37110.259999999973</v>
      </c>
      <c r="C8" s="14">
        <v>4913.6599999999989</v>
      </c>
      <c r="D8" s="14">
        <v>557.54</v>
      </c>
      <c r="E8" s="14">
        <v>906.96</v>
      </c>
      <c r="F8" s="14">
        <v>697.9</v>
      </c>
      <c r="G8" s="14">
        <v>1360.4099999999996</v>
      </c>
      <c r="H8" s="14">
        <v>1539.48</v>
      </c>
      <c r="I8" s="14">
        <v>1315.9100000000003</v>
      </c>
      <c r="J8" s="14">
        <v>1846.3899999999999</v>
      </c>
      <c r="K8" s="14">
        <v>864.58</v>
      </c>
      <c r="L8" s="14">
        <v>1028.01</v>
      </c>
      <c r="M8" s="14">
        <v>1126.3100000000002</v>
      </c>
      <c r="N8" s="14">
        <v>463.20000000000016</v>
      </c>
      <c r="O8" s="14">
        <v>997.08000000000015</v>
      </c>
      <c r="P8" s="14">
        <v>1190.5200000000002</v>
      </c>
      <c r="Q8" s="14">
        <v>2489.62</v>
      </c>
      <c r="R8" s="14">
        <v>4245.59</v>
      </c>
      <c r="S8" s="14">
        <v>5123.579999999999</v>
      </c>
      <c r="T8" s="14">
        <v>5462.24</v>
      </c>
      <c r="U8" s="14">
        <v>3362.1200000000003</v>
      </c>
      <c r="V8" s="14">
        <v>2445.7399999999998</v>
      </c>
      <c r="W8" s="14">
        <v>1577.92</v>
      </c>
      <c r="X8" s="14">
        <v>44.430000000000014</v>
      </c>
      <c r="Y8" s="109">
        <f t="shared" si="3"/>
        <v>80669.449999999968</v>
      </c>
      <c r="Z8" s="190">
        <f t="shared" si="4"/>
        <v>0.1661244982586875</v>
      </c>
      <c r="AA8" s="91"/>
      <c r="AB8" s="198">
        <f t="shared" si="0"/>
        <v>67776.999999999971</v>
      </c>
      <c r="AC8" s="198">
        <f t="shared" si="1"/>
        <v>12848.02</v>
      </c>
      <c r="AD8" s="198">
        <f t="shared" si="2"/>
        <v>44.430000000000014</v>
      </c>
      <c r="AE8" s="198">
        <v>43.48</v>
      </c>
      <c r="AF8" s="198">
        <f t="shared" si="5"/>
        <v>80712.929999999964</v>
      </c>
      <c r="AG8" s="190">
        <f t="shared" si="6"/>
        <v>0.15918168253834927</v>
      </c>
    </row>
    <row r="9" spans="1:35" x14ac:dyDescent="0.25">
      <c r="A9" s="13" t="s">
        <v>15</v>
      </c>
      <c r="B9" s="14">
        <v>103.28000000000002</v>
      </c>
      <c r="C9" s="14">
        <v>16.16</v>
      </c>
      <c r="D9" s="14">
        <v>2.94</v>
      </c>
      <c r="E9" s="14">
        <v>5.0199999999999996</v>
      </c>
      <c r="F9" s="14"/>
      <c r="G9" s="14"/>
      <c r="H9" s="14">
        <v>1.38</v>
      </c>
      <c r="I9" s="14">
        <v>1.92</v>
      </c>
      <c r="J9" s="14">
        <v>20.309999999999999</v>
      </c>
      <c r="K9" s="14">
        <v>3.27</v>
      </c>
      <c r="L9" s="14">
        <v>32.299999999999997</v>
      </c>
      <c r="M9" s="14"/>
      <c r="N9" s="14">
        <v>0.12</v>
      </c>
      <c r="O9" s="14">
        <v>13.81</v>
      </c>
      <c r="P9" s="14">
        <v>5.8800000000000008</v>
      </c>
      <c r="Q9" s="14">
        <v>78.31</v>
      </c>
      <c r="R9" s="14">
        <v>33.07</v>
      </c>
      <c r="S9" s="14">
        <v>131.54999999999998</v>
      </c>
      <c r="T9" s="14">
        <v>120.33</v>
      </c>
      <c r="U9" s="14">
        <v>25.43</v>
      </c>
      <c r="V9" s="14">
        <v>10.47</v>
      </c>
      <c r="W9" s="14">
        <v>57.69</v>
      </c>
      <c r="X9" s="14">
        <v>9.0000000000000011E-2</v>
      </c>
      <c r="Y9" s="109">
        <f t="shared" si="3"/>
        <v>663.33</v>
      </c>
      <c r="Z9" s="190">
        <f t="shared" si="4"/>
        <v>1.3660110913107158E-3</v>
      </c>
      <c r="AA9" s="91"/>
      <c r="AB9" s="198">
        <f t="shared" si="0"/>
        <v>449.31999999999994</v>
      </c>
      <c r="AC9" s="198">
        <f t="shared" si="1"/>
        <v>213.92</v>
      </c>
      <c r="AD9" s="198">
        <f t="shared" si="2"/>
        <v>9.0000000000000011E-2</v>
      </c>
      <c r="AE9" s="198">
        <v>0.12</v>
      </c>
      <c r="AF9" s="198">
        <f t="shared" si="5"/>
        <v>663.44999999999993</v>
      </c>
      <c r="AG9" s="190">
        <f t="shared" si="6"/>
        <v>0.32243575250584072</v>
      </c>
    </row>
    <row r="10" spans="1:35" x14ac:dyDescent="0.25">
      <c r="A10" s="13" t="s">
        <v>16</v>
      </c>
      <c r="B10" s="14">
        <v>1226.3699999999992</v>
      </c>
      <c r="C10" s="14">
        <v>138.30000000000001</v>
      </c>
      <c r="D10" s="14">
        <v>6.65</v>
      </c>
      <c r="E10" s="14">
        <v>20.93</v>
      </c>
      <c r="F10" s="14">
        <v>6.13</v>
      </c>
      <c r="G10" s="14">
        <v>35.879999999999995</v>
      </c>
      <c r="H10" s="14">
        <v>39.089999999999996</v>
      </c>
      <c r="I10" s="14">
        <v>6.79</v>
      </c>
      <c r="J10" s="14">
        <v>18.419999999999998</v>
      </c>
      <c r="K10" s="14">
        <v>64.38</v>
      </c>
      <c r="L10" s="14">
        <v>14.82</v>
      </c>
      <c r="M10" s="14">
        <v>34.61</v>
      </c>
      <c r="N10" s="14">
        <v>1.25</v>
      </c>
      <c r="O10" s="14">
        <v>17.54</v>
      </c>
      <c r="P10" s="14">
        <v>31.31</v>
      </c>
      <c r="Q10" s="14">
        <v>35.229999999999997</v>
      </c>
      <c r="R10" s="14">
        <v>246.34</v>
      </c>
      <c r="S10" s="14">
        <v>353.20000000000005</v>
      </c>
      <c r="T10" s="14">
        <v>287.33999999999997</v>
      </c>
      <c r="U10" s="14">
        <v>121.75000000000001</v>
      </c>
      <c r="V10" s="14">
        <v>91.57</v>
      </c>
      <c r="W10" s="14">
        <v>212.48000000000002</v>
      </c>
      <c r="X10" s="14">
        <v>1.5100000000000002</v>
      </c>
      <c r="Y10" s="109">
        <f t="shared" si="3"/>
        <v>3011.8899999999994</v>
      </c>
      <c r="Z10" s="190">
        <f t="shared" si="4"/>
        <v>6.2024560110470368E-3</v>
      </c>
      <c r="AA10" s="91"/>
      <c r="AB10" s="198">
        <f t="shared" si="0"/>
        <v>2297.2399999999989</v>
      </c>
      <c r="AC10" s="198">
        <f t="shared" si="1"/>
        <v>713.14</v>
      </c>
      <c r="AD10" s="198">
        <f t="shared" si="2"/>
        <v>1.5100000000000002</v>
      </c>
      <c r="AE10" s="198">
        <v>21.67</v>
      </c>
      <c r="AF10" s="198">
        <f t="shared" si="5"/>
        <v>3033.559999999999</v>
      </c>
      <c r="AG10" s="190">
        <f t="shared" si="6"/>
        <v>0.23508353221957048</v>
      </c>
    </row>
    <row r="11" spans="1:35" x14ac:dyDescent="0.25">
      <c r="A11" s="13" t="s">
        <v>17</v>
      </c>
      <c r="B11" s="14">
        <v>5508.3599999999942</v>
      </c>
      <c r="C11" s="14">
        <v>239.7</v>
      </c>
      <c r="D11" s="14">
        <v>9.16</v>
      </c>
      <c r="E11" s="14">
        <v>25.78</v>
      </c>
      <c r="F11" s="14">
        <v>11.49</v>
      </c>
      <c r="G11" s="14">
        <v>142.89000000000001</v>
      </c>
      <c r="H11" s="14">
        <v>4.26</v>
      </c>
      <c r="I11" s="14">
        <v>9.1599999999999984</v>
      </c>
      <c r="J11" s="14">
        <v>4.5299999999999994</v>
      </c>
      <c r="K11" s="14">
        <v>60.02</v>
      </c>
      <c r="L11" s="14">
        <v>15.3</v>
      </c>
      <c r="M11" s="14">
        <v>6.7899999999999991</v>
      </c>
      <c r="N11" s="14">
        <v>6.9399999999999986</v>
      </c>
      <c r="O11" s="14">
        <v>24.900000000000002</v>
      </c>
      <c r="P11" s="14">
        <v>14.42</v>
      </c>
      <c r="Q11" s="14">
        <v>70.150000000000006</v>
      </c>
      <c r="R11" s="14">
        <v>137.65999999999997</v>
      </c>
      <c r="S11" s="14">
        <v>106.69</v>
      </c>
      <c r="T11" s="14">
        <v>162.5</v>
      </c>
      <c r="U11" s="14">
        <v>90.039999999999992</v>
      </c>
      <c r="V11" s="14">
        <v>63.69</v>
      </c>
      <c r="W11" s="14">
        <v>135.49</v>
      </c>
      <c r="X11" s="14">
        <v>16.36</v>
      </c>
      <c r="Y11" s="109">
        <f t="shared" si="3"/>
        <v>6866.2799999999916</v>
      </c>
      <c r="Z11" s="190">
        <f t="shared" si="4"/>
        <v>1.4139892114098458E-2</v>
      </c>
      <c r="AA11" s="91"/>
      <c r="AB11" s="198">
        <f t="shared" si="0"/>
        <v>6398.1999999999925</v>
      </c>
      <c r="AC11" s="198">
        <f t="shared" si="1"/>
        <v>451.72</v>
      </c>
      <c r="AD11" s="198">
        <f t="shared" si="2"/>
        <v>16.36</v>
      </c>
      <c r="AE11" s="198">
        <v>143.85</v>
      </c>
      <c r="AF11" s="198">
        <f t="shared" si="5"/>
        <v>7010.1299999999928</v>
      </c>
      <c r="AG11" s="190">
        <f t="shared" si="6"/>
        <v>6.4438177323387802E-2</v>
      </c>
    </row>
    <row r="12" spans="1:35" x14ac:dyDescent="0.25">
      <c r="A12" s="13" t="s">
        <v>18</v>
      </c>
      <c r="B12" s="14">
        <v>330.23000000000008</v>
      </c>
      <c r="C12" s="14">
        <v>93.93</v>
      </c>
      <c r="D12" s="14">
        <v>0.55000000000000004</v>
      </c>
      <c r="E12" s="14">
        <v>22.89</v>
      </c>
      <c r="F12" s="14"/>
      <c r="G12" s="14">
        <v>9.9700000000000006</v>
      </c>
      <c r="H12" s="14">
        <v>19.489999999999998</v>
      </c>
      <c r="I12" s="14">
        <v>35.92</v>
      </c>
      <c r="J12" s="14">
        <v>60.000000000000007</v>
      </c>
      <c r="K12" s="14">
        <v>11.85</v>
      </c>
      <c r="L12" s="14">
        <v>61.33</v>
      </c>
      <c r="M12" s="14">
        <v>21.040000000000003</v>
      </c>
      <c r="N12" s="14">
        <v>9.41</v>
      </c>
      <c r="O12" s="14">
        <v>2.06</v>
      </c>
      <c r="P12" s="14">
        <v>21.879999999999995</v>
      </c>
      <c r="Q12" s="14">
        <v>80.83</v>
      </c>
      <c r="R12" s="14">
        <v>277.5</v>
      </c>
      <c r="S12" s="14">
        <v>528.02999999999986</v>
      </c>
      <c r="T12" s="14">
        <v>463.42999999999995</v>
      </c>
      <c r="U12" s="14">
        <v>255.99</v>
      </c>
      <c r="V12" s="14">
        <v>328.36999999999995</v>
      </c>
      <c r="W12" s="14">
        <v>371.26</v>
      </c>
      <c r="X12" s="14">
        <v>2.74</v>
      </c>
      <c r="Y12" s="14">
        <f t="shared" si="3"/>
        <v>3008.7</v>
      </c>
      <c r="Z12" s="190">
        <f t="shared" si="4"/>
        <v>6.1958867689182609E-3</v>
      </c>
      <c r="AA12" s="91"/>
      <c r="AB12" s="198">
        <f t="shared" si="0"/>
        <v>1586.9099999999999</v>
      </c>
      <c r="AC12" s="198">
        <f t="shared" si="1"/>
        <v>1419.05</v>
      </c>
      <c r="AD12" s="198">
        <f t="shared" si="2"/>
        <v>2.74</v>
      </c>
      <c r="AE12" s="198">
        <v>0.03</v>
      </c>
      <c r="AF12" s="198">
        <f t="shared" si="5"/>
        <v>3008.73</v>
      </c>
      <c r="AG12" s="190">
        <f t="shared" si="6"/>
        <v>0.47164418209676506</v>
      </c>
    </row>
    <row r="13" spans="1:35" x14ac:dyDescent="0.25">
      <c r="A13" s="44" t="s">
        <v>50</v>
      </c>
      <c r="B13" s="45">
        <v>37729.339999999975</v>
      </c>
      <c r="C13" s="45">
        <v>2550.3900000000003</v>
      </c>
      <c r="D13" s="45">
        <v>328.77</v>
      </c>
      <c r="E13" s="45">
        <v>524.01</v>
      </c>
      <c r="F13" s="45">
        <v>436.72</v>
      </c>
      <c r="G13" s="45">
        <v>545.59</v>
      </c>
      <c r="H13" s="45">
        <v>954.17</v>
      </c>
      <c r="I13" s="45">
        <v>652.33000000000004</v>
      </c>
      <c r="J13" s="45">
        <v>526.29</v>
      </c>
      <c r="K13" s="45">
        <v>641.83999999999992</v>
      </c>
      <c r="L13" s="45">
        <v>724.21</v>
      </c>
      <c r="M13" s="45">
        <v>850.31999999999994</v>
      </c>
      <c r="N13" s="45">
        <v>497.00000000000006</v>
      </c>
      <c r="O13" s="45">
        <v>644.6400000000001</v>
      </c>
      <c r="P13" s="45">
        <v>663.48</v>
      </c>
      <c r="Q13" s="45">
        <v>1091.8599999999997</v>
      </c>
      <c r="R13" s="45">
        <v>1415.85</v>
      </c>
      <c r="S13" s="45">
        <v>1601.0200000000002</v>
      </c>
      <c r="T13" s="45">
        <v>1771.2000000000003</v>
      </c>
      <c r="U13" s="45">
        <v>1545.06</v>
      </c>
      <c r="V13" s="45">
        <v>1625.51</v>
      </c>
      <c r="W13" s="45">
        <v>966.13999999999987</v>
      </c>
      <c r="X13" s="45">
        <v>277.84000000000003</v>
      </c>
      <c r="Y13" s="45">
        <f t="shared" si="3"/>
        <v>58563.579999999958</v>
      </c>
      <c r="Z13" s="189">
        <f t="shared" si="4"/>
        <v>0.12060135954481532</v>
      </c>
      <c r="AA13" s="168"/>
      <c r="AB13" s="197">
        <f t="shared" si="0"/>
        <v>52377.829999999965</v>
      </c>
      <c r="AC13" s="197">
        <f t="shared" si="1"/>
        <v>5907.91</v>
      </c>
      <c r="AD13" s="197">
        <f t="shared" si="2"/>
        <v>277.84000000000003</v>
      </c>
      <c r="AE13" s="197">
        <v>284.67</v>
      </c>
      <c r="AF13" s="197">
        <f t="shared" si="5"/>
        <v>58848.249999999956</v>
      </c>
      <c r="AG13" s="189">
        <f t="shared" si="6"/>
        <v>0.10039228014426944</v>
      </c>
    </row>
    <row r="14" spans="1:35" x14ac:dyDescent="0.25">
      <c r="A14" s="13" t="s">
        <v>19</v>
      </c>
      <c r="B14" s="14">
        <v>5348.8299999999981</v>
      </c>
      <c r="C14" s="14">
        <v>219.15</v>
      </c>
      <c r="D14" s="14">
        <v>30.14</v>
      </c>
      <c r="E14" s="14">
        <v>218.62</v>
      </c>
      <c r="F14" s="14">
        <v>108.96000000000001</v>
      </c>
      <c r="G14" s="14">
        <v>84.919999999999987</v>
      </c>
      <c r="H14" s="14">
        <v>178.12999999999994</v>
      </c>
      <c r="I14" s="14">
        <v>194.32999999999998</v>
      </c>
      <c r="J14" s="14">
        <v>78.36</v>
      </c>
      <c r="K14" s="14">
        <v>71.250000000000014</v>
      </c>
      <c r="L14" s="14">
        <v>87.399999999999991</v>
      </c>
      <c r="M14" s="14">
        <v>113.2</v>
      </c>
      <c r="N14" s="14">
        <v>66.31</v>
      </c>
      <c r="O14" s="14">
        <v>99.669999999999987</v>
      </c>
      <c r="P14" s="14">
        <v>119.83000000000001</v>
      </c>
      <c r="Q14" s="14">
        <v>118.07000000000002</v>
      </c>
      <c r="R14" s="14">
        <v>225.02</v>
      </c>
      <c r="S14" s="14">
        <v>321.46000000000004</v>
      </c>
      <c r="T14" s="14">
        <v>344.90999999999997</v>
      </c>
      <c r="U14" s="14">
        <v>345.64</v>
      </c>
      <c r="V14" s="14">
        <v>327.08999999999997</v>
      </c>
      <c r="W14" s="14">
        <v>287.28000000000003</v>
      </c>
      <c r="X14" s="14">
        <v>77.67</v>
      </c>
      <c r="Y14" s="14">
        <f t="shared" si="3"/>
        <v>9066.239999999998</v>
      </c>
      <c r="Z14" s="190">
        <f t="shared" si="4"/>
        <v>1.8670321554105588E-2</v>
      </c>
      <c r="AA14" s="91"/>
      <c r="AB14" s="198">
        <f t="shared" si="0"/>
        <v>7683.6499999999978</v>
      </c>
      <c r="AC14" s="198">
        <f t="shared" si="1"/>
        <v>1304.9199999999998</v>
      </c>
      <c r="AD14" s="198">
        <f t="shared" si="2"/>
        <v>77.67</v>
      </c>
      <c r="AE14" s="198">
        <v>0.39</v>
      </c>
      <c r="AF14" s="198">
        <f t="shared" si="5"/>
        <v>9066.6299999999974</v>
      </c>
      <c r="AG14" s="190">
        <f t="shared" si="6"/>
        <v>0.14392558205198627</v>
      </c>
    </row>
    <row r="15" spans="1:35" x14ac:dyDescent="0.25">
      <c r="A15" s="13" t="s">
        <v>20</v>
      </c>
      <c r="B15" s="14">
        <v>14067.159999999998</v>
      </c>
      <c r="C15" s="14">
        <v>868.08</v>
      </c>
      <c r="D15" s="14">
        <v>86.36999999999999</v>
      </c>
      <c r="E15" s="14">
        <v>105.36000000000001</v>
      </c>
      <c r="F15" s="14">
        <v>119.46999999999998</v>
      </c>
      <c r="G15" s="14">
        <v>106.29</v>
      </c>
      <c r="H15" s="14">
        <v>250.17999999999998</v>
      </c>
      <c r="I15" s="14">
        <v>90.65</v>
      </c>
      <c r="J15" s="14">
        <v>92.74</v>
      </c>
      <c r="K15" s="14">
        <v>153.84</v>
      </c>
      <c r="L15" s="14">
        <v>143.51</v>
      </c>
      <c r="M15" s="14">
        <v>195.13</v>
      </c>
      <c r="N15" s="14">
        <v>90.93</v>
      </c>
      <c r="O15" s="14">
        <v>136.58000000000001</v>
      </c>
      <c r="P15" s="14">
        <v>97.569999999999979</v>
      </c>
      <c r="Q15" s="14">
        <v>227.66999999999996</v>
      </c>
      <c r="R15" s="14">
        <v>277.22000000000003</v>
      </c>
      <c r="S15" s="14">
        <v>279.37</v>
      </c>
      <c r="T15" s="14">
        <v>263.53999999999996</v>
      </c>
      <c r="U15" s="14">
        <v>263.11</v>
      </c>
      <c r="V15" s="14">
        <v>275.52</v>
      </c>
      <c r="W15" s="14">
        <v>137.02999999999997</v>
      </c>
      <c r="X15" s="14">
        <v>47.220000000000006</v>
      </c>
      <c r="Y15" s="14">
        <f t="shared" si="3"/>
        <v>18374.54</v>
      </c>
      <c r="Z15" s="190">
        <f t="shared" si="4"/>
        <v>3.783912296704868E-2</v>
      </c>
      <c r="AA15" s="91"/>
      <c r="AB15" s="198">
        <f t="shared" si="0"/>
        <v>17388.12</v>
      </c>
      <c r="AC15" s="198">
        <f t="shared" si="1"/>
        <v>939.19999999999993</v>
      </c>
      <c r="AD15" s="198">
        <f t="shared" si="2"/>
        <v>47.220000000000006</v>
      </c>
      <c r="AE15" s="198">
        <v>1.28</v>
      </c>
      <c r="AF15" s="198">
        <f t="shared" si="5"/>
        <v>18375.82</v>
      </c>
      <c r="AG15" s="190">
        <f t="shared" si="6"/>
        <v>5.1110644314104073E-2</v>
      </c>
    </row>
    <row r="16" spans="1:35" x14ac:dyDescent="0.25">
      <c r="A16" s="13" t="s">
        <v>21</v>
      </c>
      <c r="B16" s="14">
        <v>18313.349999999977</v>
      </c>
      <c r="C16" s="14">
        <v>1463.16</v>
      </c>
      <c r="D16" s="14">
        <v>212.26</v>
      </c>
      <c r="E16" s="14">
        <v>200.03</v>
      </c>
      <c r="F16" s="14">
        <v>208.29</v>
      </c>
      <c r="G16" s="14">
        <v>354.38000000000005</v>
      </c>
      <c r="H16" s="14">
        <v>525.86</v>
      </c>
      <c r="I16" s="14">
        <v>367.35</v>
      </c>
      <c r="J16" s="14">
        <v>355.18999999999994</v>
      </c>
      <c r="K16" s="14">
        <v>416.74999999999994</v>
      </c>
      <c r="L16" s="14">
        <v>493.30000000000007</v>
      </c>
      <c r="M16" s="14">
        <v>541.9899999999999</v>
      </c>
      <c r="N16" s="14">
        <v>339.76000000000005</v>
      </c>
      <c r="O16" s="14">
        <v>408.39000000000004</v>
      </c>
      <c r="P16" s="14">
        <v>446.08000000000004</v>
      </c>
      <c r="Q16" s="14">
        <v>746.11999999999966</v>
      </c>
      <c r="R16" s="14">
        <v>913.61</v>
      </c>
      <c r="S16" s="14">
        <v>1000.1900000000002</v>
      </c>
      <c r="T16" s="14">
        <v>1162.7500000000002</v>
      </c>
      <c r="U16" s="14">
        <v>936.31</v>
      </c>
      <c r="V16" s="14">
        <v>1022.9000000000001</v>
      </c>
      <c r="W16" s="14">
        <v>541.82999999999993</v>
      </c>
      <c r="X16" s="14">
        <v>152.94999999999999</v>
      </c>
      <c r="Y16" s="109">
        <f t="shared" si="3"/>
        <v>31122.799999999977</v>
      </c>
      <c r="Z16" s="190">
        <f t="shared" si="4"/>
        <v>6.4091915023661086E-2</v>
      </c>
      <c r="AA16" s="91"/>
      <c r="AB16" s="198">
        <f t="shared" si="0"/>
        <v>27306.059999999972</v>
      </c>
      <c r="AC16" s="198">
        <f t="shared" si="1"/>
        <v>3663.7900000000004</v>
      </c>
      <c r="AD16" s="198">
        <f t="shared" si="2"/>
        <v>152.94999999999999</v>
      </c>
      <c r="AE16" s="198">
        <v>283</v>
      </c>
      <c r="AF16" s="198">
        <f t="shared" si="5"/>
        <v>31405.799999999974</v>
      </c>
      <c r="AG16" s="190">
        <f t="shared" si="6"/>
        <v>0.11665966159117117</v>
      </c>
      <c r="AI16" t="s">
        <v>286</v>
      </c>
    </row>
    <row r="17" spans="1:43" x14ac:dyDescent="0.25">
      <c r="A17" s="44" t="s">
        <v>60</v>
      </c>
      <c r="B17" s="45">
        <v>35971.759999999987</v>
      </c>
      <c r="C17" s="45">
        <v>3573.47</v>
      </c>
      <c r="D17" s="45">
        <v>196.03000000000003</v>
      </c>
      <c r="E17" s="45">
        <v>241.10999999999999</v>
      </c>
      <c r="F17" s="45">
        <v>150.97</v>
      </c>
      <c r="G17" s="45">
        <v>428.53</v>
      </c>
      <c r="H17" s="45">
        <v>522.31999999999994</v>
      </c>
      <c r="I17" s="45">
        <v>251.62</v>
      </c>
      <c r="J17" s="45">
        <v>224.22</v>
      </c>
      <c r="K17" s="45">
        <v>297.14</v>
      </c>
      <c r="L17" s="45">
        <v>383.77000000000004</v>
      </c>
      <c r="M17" s="45">
        <v>601.91000000000008</v>
      </c>
      <c r="N17" s="45">
        <v>272.36999999999995</v>
      </c>
      <c r="O17" s="45">
        <v>326.58999999999997</v>
      </c>
      <c r="P17" s="45">
        <v>281.07000000000005</v>
      </c>
      <c r="Q17" s="45">
        <v>712.22</v>
      </c>
      <c r="R17" s="45">
        <v>1274.1299999999999</v>
      </c>
      <c r="S17" s="45">
        <v>1396.1100000000001</v>
      </c>
      <c r="T17" s="45">
        <v>1158.3899999999996</v>
      </c>
      <c r="U17" s="45">
        <v>988.05000000000007</v>
      </c>
      <c r="V17" s="45">
        <v>778.64</v>
      </c>
      <c r="W17" s="45">
        <v>395.96</v>
      </c>
      <c r="X17" s="45">
        <v>478.16999999999996</v>
      </c>
      <c r="Y17" s="45">
        <f t="shared" si="3"/>
        <v>50904.549999999988</v>
      </c>
      <c r="Z17" s="189">
        <f t="shared" si="4"/>
        <v>0.1048289386853917</v>
      </c>
      <c r="AA17" s="168"/>
      <c r="AB17" s="197">
        <f t="shared" si="0"/>
        <v>47105.339999999989</v>
      </c>
      <c r="AC17" s="197">
        <f t="shared" si="1"/>
        <v>3321.0399999999995</v>
      </c>
      <c r="AD17" s="197">
        <f t="shared" si="2"/>
        <v>478.16999999999996</v>
      </c>
      <c r="AE17" s="197">
        <v>2417.6099999999997</v>
      </c>
      <c r="AF17" s="197">
        <f t="shared" si="5"/>
        <v>53322.159999999989</v>
      </c>
      <c r="AG17" s="189">
        <f t="shared" si="6"/>
        <v>6.2282548193846612E-2</v>
      </c>
      <c r="AJ17" t="s">
        <v>288</v>
      </c>
      <c r="AK17" t="s">
        <v>103</v>
      </c>
      <c r="AL17" t="s">
        <v>287</v>
      </c>
      <c r="AO17" t="s">
        <v>288</v>
      </c>
      <c r="AP17" t="s">
        <v>103</v>
      </c>
      <c r="AQ17" t="s">
        <v>287</v>
      </c>
    </row>
    <row r="18" spans="1:43" x14ac:dyDescent="0.25">
      <c r="A18" s="13" t="s">
        <v>22</v>
      </c>
      <c r="B18" s="14">
        <v>8445.2599999999966</v>
      </c>
      <c r="C18" s="14">
        <v>1080.6999999999998</v>
      </c>
      <c r="D18" s="14">
        <v>36.700000000000003</v>
      </c>
      <c r="E18" s="14">
        <v>89.51</v>
      </c>
      <c r="F18" s="14">
        <v>42.440000000000005</v>
      </c>
      <c r="G18" s="14">
        <v>89.26</v>
      </c>
      <c r="H18" s="14">
        <v>122.06000000000003</v>
      </c>
      <c r="I18" s="14">
        <v>37.44</v>
      </c>
      <c r="J18" s="14">
        <v>68.099999999999994</v>
      </c>
      <c r="K18" s="14">
        <v>107.68</v>
      </c>
      <c r="L18" s="14">
        <v>120.11999999999998</v>
      </c>
      <c r="M18" s="14">
        <v>104.40000000000002</v>
      </c>
      <c r="N18" s="14">
        <v>16.57</v>
      </c>
      <c r="O18" s="14">
        <v>47.730000000000004</v>
      </c>
      <c r="P18" s="14">
        <v>42.230000000000004</v>
      </c>
      <c r="Q18" s="14">
        <v>115.87000000000002</v>
      </c>
      <c r="R18" s="14">
        <v>200.05999999999995</v>
      </c>
      <c r="S18" s="14">
        <v>245.29000000000002</v>
      </c>
      <c r="T18" s="14">
        <v>210.25999999999993</v>
      </c>
      <c r="U18" s="14">
        <v>174.88</v>
      </c>
      <c r="V18" s="14">
        <v>90.7</v>
      </c>
      <c r="W18" s="14">
        <v>101.73999999999998</v>
      </c>
      <c r="X18" s="14">
        <v>73.44</v>
      </c>
      <c r="Y18" s="14">
        <f t="shared" si="3"/>
        <v>11662.439999999999</v>
      </c>
      <c r="Z18" s="190">
        <f t="shared" si="4"/>
        <v>2.4016737358095883E-2</v>
      </c>
      <c r="AA18" s="91"/>
      <c r="AB18" s="198">
        <f t="shared" si="0"/>
        <v>11011.419999999998</v>
      </c>
      <c r="AC18" s="198">
        <f t="shared" si="1"/>
        <v>577.57999999999993</v>
      </c>
      <c r="AD18" s="198">
        <f t="shared" si="2"/>
        <v>73.44</v>
      </c>
      <c r="AE18" s="198">
        <v>112.09</v>
      </c>
      <c r="AF18" s="198">
        <f t="shared" si="5"/>
        <v>11774.529999999999</v>
      </c>
      <c r="AG18" s="190">
        <f t="shared" si="6"/>
        <v>4.905333801009467E-2</v>
      </c>
      <c r="AI18" s="13" t="s">
        <v>29</v>
      </c>
      <c r="AJ18" s="162">
        <v>15998.74</v>
      </c>
      <c r="AK18" s="162">
        <v>63273.239999999976</v>
      </c>
      <c r="AL18" s="249">
        <v>0.25285160045542171</v>
      </c>
      <c r="AN18" s="44" t="s">
        <v>52</v>
      </c>
      <c r="AO18" s="162">
        <v>35006.15</v>
      </c>
      <c r="AP18" s="162">
        <v>122806.68</v>
      </c>
      <c r="AQ18" s="249">
        <v>0.28505086205408375</v>
      </c>
    </row>
    <row r="19" spans="1:43" x14ac:dyDescent="0.25">
      <c r="A19" s="13" t="s">
        <v>23</v>
      </c>
      <c r="B19" s="14">
        <v>12919.1</v>
      </c>
      <c r="C19" s="14">
        <v>551.83999999999992</v>
      </c>
      <c r="D19" s="14">
        <v>79.3</v>
      </c>
      <c r="E19" s="14">
        <v>66.88</v>
      </c>
      <c r="F19" s="14">
        <v>42.49</v>
      </c>
      <c r="G19" s="14">
        <v>147.01999999999995</v>
      </c>
      <c r="H19" s="14">
        <v>119.68999999999997</v>
      </c>
      <c r="I19" s="14">
        <v>22.830000000000002</v>
      </c>
      <c r="J19" s="14">
        <v>44.68</v>
      </c>
      <c r="K19" s="14">
        <v>51.199999999999996</v>
      </c>
      <c r="L19" s="14">
        <v>106.10000000000002</v>
      </c>
      <c r="M19" s="14">
        <v>182.93000000000004</v>
      </c>
      <c r="N19" s="14">
        <v>51.900000000000013</v>
      </c>
      <c r="O19" s="14">
        <v>126.92</v>
      </c>
      <c r="P19" s="14">
        <v>103.71000000000001</v>
      </c>
      <c r="Q19" s="14">
        <v>228.04999999999995</v>
      </c>
      <c r="R19" s="14">
        <v>302.5499999999999</v>
      </c>
      <c r="S19" s="14">
        <v>265.96000000000009</v>
      </c>
      <c r="T19" s="14">
        <v>175.59</v>
      </c>
      <c r="U19" s="14">
        <v>220.41999999999996</v>
      </c>
      <c r="V19" s="14">
        <v>216.54999999999995</v>
      </c>
      <c r="W19" s="14">
        <v>94.309999999999988</v>
      </c>
      <c r="X19" s="14">
        <v>243.67000000000002</v>
      </c>
      <c r="Y19" s="14">
        <f t="shared" si="3"/>
        <v>16363.689999999999</v>
      </c>
      <c r="Z19" s="190">
        <f t="shared" si="4"/>
        <v>3.3698132203835565E-2</v>
      </c>
      <c r="AA19" s="91"/>
      <c r="AB19" s="198">
        <f t="shared" si="0"/>
        <v>15413.15</v>
      </c>
      <c r="AC19" s="198">
        <f t="shared" si="1"/>
        <v>706.86999999999989</v>
      </c>
      <c r="AD19" s="198">
        <f t="shared" si="2"/>
        <v>243.67000000000002</v>
      </c>
      <c r="AE19" s="198">
        <v>1557.34</v>
      </c>
      <c r="AF19" s="198">
        <f t="shared" si="5"/>
        <v>17921.03</v>
      </c>
      <c r="AG19" s="190">
        <f t="shared" si="6"/>
        <v>3.9443603408955842E-2</v>
      </c>
      <c r="AI19" s="13" t="s">
        <v>14</v>
      </c>
      <c r="AJ19" s="162">
        <v>12848.02</v>
      </c>
      <c r="AK19" s="162">
        <v>80712.929999999964</v>
      </c>
      <c r="AL19" s="249">
        <v>0.15918168253834927</v>
      </c>
      <c r="AN19" s="44" t="s">
        <v>49</v>
      </c>
      <c r="AO19" s="162">
        <v>22596.25</v>
      </c>
      <c r="AP19" s="162">
        <v>142515.91999999995</v>
      </c>
      <c r="AQ19" s="249">
        <v>0.15855246206879911</v>
      </c>
    </row>
    <row r="20" spans="1:43" x14ac:dyDescent="0.25">
      <c r="A20" s="13" t="s">
        <v>24</v>
      </c>
      <c r="B20" s="14">
        <v>14607.399999999992</v>
      </c>
      <c r="C20" s="14">
        <v>1940.93</v>
      </c>
      <c r="D20" s="14">
        <v>80.030000000000015</v>
      </c>
      <c r="E20" s="14">
        <v>84.72</v>
      </c>
      <c r="F20" s="14">
        <v>66.039999999999992</v>
      </c>
      <c r="G20" s="14">
        <v>192.25000000000003</v>
      </c>
      <c r="H20" s="14">
        <v>280.57</v>
      </c>
      <c r="I20" s="14">
        <v>191.35000000000002</v>
      </c>
      <c r="J20" s="14">
        <v>111.44</v>
      </c>
      <c r="K20" s="14">
        <v>138.26000000000002</v>
      </c>
      <c r="L20" s="14">
        <v>157.55000000000004</v>
      </c>
      <c r="M20" s="14">
        <v>314.58000000000004</v>
      </c>
      <c r="N20" s="14">
        <v>203.89999999999995</v>
      </c>
      <c r="O20" s="14">
        <v>151.93999999999997</v>
      </c>
      <c r="P20" s="14">
        <v>135.13000000000002</v>
      </c>
      <c r="Q20" s="14">
        <v>368.3</v>
      </c>
      <c r="R20" s="14">
        <v>771.5200000000001</v>
      </c>
      <c r="S20" s="14">
        <v>884.8599999999999</v>
      </c>
      <c r="T20" s="14">
        <v>772.53999999999974</v>
      </c>
      <c r="U20" s="14">
        <v>592.75000000000011</v>
      </c>
      <c r="V20" s="14">
        <v>471.39000000000004</v>
      </c>
      <c r="W20" s="14">
        <v>199.91000000000003</v>
      </c>
      <c r="X20" s="14">
        <v>161.05999999999997</v>
      </c>
      <c r="Y20" s="14">
        <f t="shared" si="3"/>
        <v>22878.419999999991</v>
      </c>
      <c r="Z20" s="190">
        <f t="shared" si="4"/>
        <v>4.7114069123460257E-2</v>
      </c>
      <c r="AA20" s="91"/>
      <c r="AB20" s="198">
        <f t="shared" si="0"/>
        <v>20680.76999999999</v>
      </c>
      <c r="AC20" s="198">
        <f t="shared" si="1"/>
        <v>2036.5900000000001</v>
      </c>
      <c r="AD20" s="198">
        <f t="shared" si="2"/>
        <v>161.05999999999997</v>
      </c>
      <c r="AE20" s="198">
        <v>748.18</v>
      </c>
      <c r="AF20" s="198">
        <f t="shared" si="5"/>
        <v>23626.599999999991</v>
      </c>
      <c r="AG20" s="190">
        <f t="shared" si="6"/>
        <v>8.6199029906969302E-2</v>
      </c>
      <c r="AI20" s="13" t="s">
        <v>46</v>
      </c>
      <c r="AJ20" s="162">
        <v>9149.5099999999984</v>
      </c>
      <c r="AK20" s="162">
        <v>72261.029999999926</v>
      </c>
      <c r="AL20" s="249">
        <v>0.12661748663145278</v>
      </c>
      <c r="AN20" s="44" t="s">
        <v>56</v>
      </c>
      <c r="AO20" s="162">
        <v>9149.5099999999984</v>
      </c>
      <c r="AP20" s="162">
        <v>72261.029999999926</v>
      </c>
      <c r="AQ20" s="249">
        <v>0.12661748663145278</v>
      </c>
    </row>
    <row r="21" spans="1:43" x14ac:dyDescent="0.25">
      <c r="A21" s="44" t="s">
        <v>51</v>
      </c>
      <c r="B21" s="45">
        <v>19778.63</v>
      </c>
      <c r="C21" s="45">
        <v>844.80000000000007</v>
      </c>
      <c r="D21" s="45">
        <v>52.88</v>
      </c>
      <c r="E21" s="45">
        <v>80.27</v>
      </c>
      <c r="F21" s="45">
        <v>45.429999999999993</v>
      </c>
      <c r="G21" s="45">
        <v>60.88000000000001</v>
      </c>
      <c r="H21" s="45">
        <v>106.06</v>
      </c>
      <c r="I21" s="45">
        <v>100.81</v>
      </c>
      <c r="J21" s="45">
        <v>59.210000000000008</v>
      </c>
      <c r="K21" s="45">
        <v>84.799999999999983</v>
      </c>
      <c r="L21" s="45">
        <v>42.790000000000006</v>
      </c>
      <c r="M21" s="45">
        <v>86.31</v>
      </c>
      <c r="N21" s="45">
        <v>60.34</v>
      </c>
      <c r="O21" s="45">
        <v>77.95</v>
      </c>
      <c r="P21" s="45">
        <v>109.79999999999998</v>
      </c>
      <c r="Q21" s="45">
        <v>132.58999999999997</v>
      </c>
      <c r="R21" s="45">
        <v>276.01</v>
      </c>
      <c r="S21" s="45">
        <v>270.18</v>
      </c>
      <c r="T21" s="45">
        <v>283.96999999999997</v>
      </c>
      <c r="U21" s="45">
        <v>261.48999999999995</v>
      </c>
      <c r="V21" s="45">
        <v>227.51</v>
      </c>
      <c r="W21" s="45">
        <v>224.75</v>
      </c>
      <c r="X21" s="45">
        <v>0.16</v>
      </c>
      <c r="Y21" s="45">
        <f t="shared" si="3"/>
        <v>23267.620000000006</v>
      </c>
      <c r="Z21" s="189">
        <f t="shared" si="4"/>
        <v>4.7915557849642021E-2</v>
      </c>
      <c r="AA21" s="168"/>
      <c r="AB21" s="197">
        <f t="shared" si="0"/>
        <v>22269.740000000005</v>
      </c>
      <c r="AC21" s="197">
        <f t="shared" si="1"/>
        <v>997.71999999999991</v>
      </c>
      <c r="AD21" s="197">
        <f t="shared" si="2"/>
        <v>0.16</v>
      </c>
      <c r="AE21" s="197">
        <f>SUM(AE22:AE25)</f>
        <v>1.72</v>
      </c>
      <c r="AF21" s="197">
        <f t="shared" si="5"/>
        <v>23269.340000000007</v>
      </c>
      <c r="AG21" s="189">
        <f t="shared" si="6"/>
        <v>4.2877021866541964E-2</v>
      </c>
      <c r="AI21" s="13" t="s">
        <v>31</v>
      </c>
      <c r="AJ21" s="162">
        <v>7964.4299999999994</v>
      </c>
      <c r="AK21" s="162">
        <v>25562.159999999996</v>
      </c>
      <c r="AL21" s="249">
        <v>0.31157108788928639</v>
      </c>
      <c r="AN21" s="44" t="s">
        <v>50</v>
      </c>
      <c r="AO21" s="162">
        <v>5907.91</v>
      </c>
      <c r="AP21" s="162">
        <v>58848.249999999956</v>
      </c>
      <c r="AQ21" s="249">
        <v>0.10039228014426944</v>
      </c>
    </row>
    <row r="22" spans="1:43" x14ac:dyDescent="0.25">
      <c r="A22" s="13" t="s">
        <v>25</v>
      </c>
      <c r="B22" s="14">
        <v>514.23</v>
      </c>
      <c r="C22" s="14">
        <v>5.4500000000000011</v>
      </c>
      <c r="D22" s="14">
        <v>1.1600000000000001</v>
      </c>
      <c r="E22" s="14">
        <v>1.98</v>
      </c>
      <c r="F22" s="14"/>
      <c r="G22" s="14">
        <v>1.02</v>
      </c>
      <c r="H22" s="14">
        <v>3.6700000000000004</v>
      </c>
      <c r="I22" s="14">
        <v>0.45</v>
      </c>
      <c r="J22" s="14">
        <v>0.13</v>
      </c>
      <c r="K22" s="14">
        <v>1.79</v>
      </c>
      <c r="L22" s="14">
        <v>1.6700000000000002</v>
      </c>
      <c r="M22" s="14">
        <v>3.99</v>
      </c>
      <c r="N22" s="14">
        <v>0.04</v>
      </c>
      <c r="O22" s="14">
        <v>2.8</v>
      </c>
      <c r="P22" s="14">
        <v>0.13</v>
      </c>
      <c r="Q22" s="14">
        <v>5.08</v>
      </c>
      <c r="R22" s="14">
        <v>8.1000000000000014</v>
      </c>
      <c r="S22" s="14">
        <v>6.62</v>
      </c>
      <c r="T22" s="14">
        <v>2.1100000000000003</v>
      </c>
      <c r="U22" s="14">
        <v>3.4299999999999997</v>
      </c>
      <c r="V22" s="14">
        <v>3.94</v>
      </c>
      <c r="W22" s="14">
        <v>5.4099999999999993</v>
      </c>
      <c r="X22" s="14"/>
      <c r="Y22" s="14">
        <f t="shared" si="3"/>
        <v>573.19999999999993</v>
      </c>
      <c r="Z22" s="190">
        <f t="shared" si="4"/>
        <v>1.1804042596283934E-3</v>
      </c>
      <c r="AA22" s="91"/>
      <c r="AB22" s="198">
        <f t="shared" si="0"/>
        <v>558.30999999999995</v>
      </c>
      <c r="AC22" s="198">
        <f t="shared" si="1"/>
        <v>14.89</v>
      </c>
      <c r="AD22" s="198">
        <f t="shared" si="2"/>
        <v>0</v>
      </c>
      <c r="AE22" s="198"/>
      <c r="AF22" s="198">
        <f t="shared" si="5"/>
        <v>573.19999999999993</v>
      </c>
      <c r="AG22" s="190">
        <f t="shared" si="6"/>
        <v>2.597697138869505E-2</v>
      </c>
      <c r="AI22" s="13" t="s">
        <v>30</v>
      </c>
      <c r="AJ22" s="162">
        <v>5652.4599999999991</v>
      </c>
      <c r="AK22" s="162">
        <v>14292.339999999998</v>
      </c>
      <c r="AL22" s="249">
        <v>0.39548877230740381</v>
      </c>
      <c r="AN22" s="44" t="s">
        <v>60</v>
      </c>
      <c r="AO22" s="162">
        <v>3321.0399999999995</v>
      </c>
      <c r="AP22" s="162">
        <v>53322.159999999989</v>
      </c>
      <c r="AQ22" s="249">
        <v>6.2282548193846612E-2</v>
      </c>
    </row>
    <row r="23" spans="1:43" x14ac:dyDescent="0.25">
      <c r="A23" s="13" t="s">
        <v>26</v>
      </c>
      <c r="B23" s="14">
        <v>4.42</v>
      </c>
      <c r="C23" s="14">
        <v>0.8</v>
      </c>
      <c r="D23" s="14"/>
      <c r="E23" s="14"/>
      <c r="F23" s="14"/>
      <c r="G23" s="14"/>
      <c r="H23" s="14"/>
      <c r="I23" s="14"/>
      <c r="J23" s="14"/>
      <c r="K23" s="14"/>
      <c r="L23" s="14">
        <v>0.19</v>
      </c>
      <c r="M23" s="14"/>
      <c r="N23" s="14"/>
      <c r="O23" s="14"/>
      <c r="P23" s="14"/>
      <c r="Q23" s="14">
        <v>0.17</v>
      </c>
      <c r="R23" s="14">
        <v>0.15000000000000002</v>
      </c>
      <c r="S23" s="14">
        <v>0.7</v>
      </c>
      <c r="T23" s="14">
        <v>0.75</v>
      </c>
      <c r="U23" s="14">
        <v>2.04</v>
      </c>
      <c r="V23" s="14">
        <v>0.13</v>
      </c>
      <c r="W23" s="14">
        <v>0.4</v>
      </c>
      <c r="X23" s="14"/>
      <c r="Y23" s="14">
        <f t="shared" si="3"/>
        <v>9.7500000000000018</v>
      </c>
      <c r="Z23" s="190">
        <f t="shared" si="4"/>
        <v>2.0078404625570201E-5</v>
      </c>
      <c r="AA23" s="91"/>
      <c r="AB23" s="198">
        <f t="shared" si="0"/>
        <v>6.4300000000000006</v>
      </c>
      <c r="AC23" s="198">
        <f t="shared" si="1"/>
        <v>3.32</v>
      </c>
      <c r="AD23" s="198">
        <f t="shared" si="2"/>
        <v>0</v>
      </c>
      <c r="AE23" s="198"/>
      <c r="AF23" s="198">
        <f t="shared" si="5"/>
        <v>9.75</v>
      </c>
      <c r="AG23" s="190">
        <f t="shared" si="6"/>
        <v>0.3405128205128205</v>
      </c>
      <c r="AI23" s="13" t="s">
        <v>33</v>
      </c>
      <c r="AJ23" s="162">
        <v>5208.8099999999995</v>
      </c>
      <c r="AK23" s="162">
        <v>19302.519999999993</v>
      </c>
      <c r="AL23" s="249">
        <v>0.26985129402793012</v>
      </c>
      <c r="AN23" s="44" t="s">
        <v>51</v>
      </c>
      <c r="AO23" s="162">
        <v>997.71999999999991</v>
      </c>
      <c r="AP23" s="162">
        <v>23269.340000000007</v>
      </c>
      <c r="AQ23" s="249">
        <v>4.2877021866541964E-2</v>
      </c>
    </row>
    <row r="24" spans="1:43" x14ac:dyDescent="0.25">
      <c r="A24" s="13" t="s">
        <v>27</v>
      </c>
      <c r="B24" s="14">
        <v>9525.139999999994</v>
      </c>
      <c r="C24" s="14">
        <v>519.44000000000005</v>
      </c>
      <c r="D24" s="14">
        <v>22.27</v>
      </c>
      <c r="E24" s="14">
        <v>33.57</v>
      </c>
      <c r="F24" s="14">
        <v>18.72</v>
      </c>
      <c r="G24" s="14">
        <v>25.39</v>
      </c>
      <c r="H24" s="14">
        <v>41.28</v>
      </c>
      <c r="I24" s="14">
        <v>44.09</v>
      </c>
      <c r="J24" s="14">
        <v>33.680000000000007</v>
      </c>
      <c r="K24" s="14">
        <v>43.939999999999984</v>
      </c>
      <c r="L24" s="14">
        <v>18.79</v>
      </c>
      <c r="M24" s="14">
        <v>39.04</v>
      </c>
      <c r="N24" s="14">
        <v>16.95</v>
      </c>
      <c r="O24" s="14">
        <v>25.980000000000004</v>
      </c>
      <c r="P24" s="14">
        <v>55.409999999999989</v>
      </c>
      <c r="Q24" s="14">
        <v>43.389999999999993</v>
      </c>
      <c r="R24" s="14">
        <v>129.01</v>
      </c>
      <c r="S24" s="14">
        <v>108.57000000000001</v>
      </c>
      <c r="T24" s="14">
        <v>126.02</v>
      </c>
      <c r="U24" s="14">
        <v>94.870000000000019</v>
      </c>
      <c r="V24" s="14">
        <v>106.16000000000001</v>
      </c>
      <c r="W24" s="14">
        <v>93.93</v>
      </c>
      <c r="X24" s="14">
        <v>0.05</v>
      </c>
      <c r="Y24" s="14">
        <f t="shared" si="3"/>
        <v>11165.689999999997</v>
      </c>
      <c r="Z24" s="190">
        <f t="shared" si="4"/>
        <v>2.299376838396747E-2</v>
      </c>
      <c r="AA24" s="91"/>
      <c r="AB24" s="198">
        <f t="shared" si="0"/>
        <v>10744.659999999996</v>
      </c>
      <c r="AC24" s="198">
        <f t="shared" si="1"/>
        <v>420.98</v>
      </c>
      <c r="AD24" s="198">
        <f t="shared" si="2"/>
        <v>0.05</v>
      </c>
      <c r="AE24" s="198"/>
      <c r="AF24" s="198">
        <f t="shared" si="5"/>
        <v>11165.689999999995</v>
      </c>
      <c r="AG24" s="190">
        <f t="shared" si="6"/>
        <v>3.7702999098130095E-2</v>
      </c>
      <c r="AI24" s="13" t="s">
        <v>11</v>
      </c>
      <c r="AJ24" s="162">
        <v>3841.1899999999996</v>
      </c>
      <c r="AK24" s="162">
        <v>43467.800000000025</v>
      </c>
      <c r="AL24" s="249">
        <v>8.836863149273709E-2</v>
      </c>
    </row>
    <row r="25" spans="1:43" x14ac:dyDescent="0.25">
      <c r="A25" s="13" t="s">
        <v>28</v>
      </c>
      <c r="B25" s="14">
        <v>9734.8400000000074</v>
      </c>
      <c r="C25" s="14">
        <v>319.11</v>
      </c>
      <c r="D25" s="14">
        <v>29.450000000000003</v>
      </c>
      <c r="E25" s="14">
        <v>44.72</v>
      </c>
      <c r="F25" s="14">
        <v>26.709999999999994</v>
      </c>
      <c r="G25" s="14">
        <v>34.470000000000006</v>
      </c>
      <c r="H25" s="14">
        <v>61.109999999999992</v>
      </c>
      <c r="I25" s="14">
        <v>56.27</v>
      </c>
      <c r="J25" s="14">
        <v>25.4</v>
      </c>
      <c r="K25" s="14">
        <v>39.07</v>
      </c>
      <c r="L25" s="14">
        <v>22.140000000000004</v>
      </c>
      <c r="M25" s="14">
        <v>43.279999999999994</v>
      </c>
      <c r="N25" s="14">
        <v>43.35</v>
      </c>
      <c r="O25" s="14">
        <v>49.169999999999995</v>
      </c>
      <c r="P25" s="14">
        <v>54.26</v>
      </c>
      <c r="Q25" s="14">
        <v>83.949999999999989</v>
      </c>
      <c r="R25" s="14">
        <v>138.75000000000003</v>
      </c>
      <c r="S25" s="14">
        <v>154.29</v>
      </c>
      <c r="T25" s="14">
        <v>155.08999999999997</v>
      </c>
      <c r="U25" s="14">
        <v>161.14999999999995</v>
      </c>
      <c r="V25" s="14">
        <v>117.27999999999999</v>
      </c>
      <c r="W25" s="14">
        <v>125.01</v>
      </c>
      <c r="X25" s="14">
        <v>0.11</v>
      </c>
      <c r="Y25" s="14">
        <f t="shared" si="3"/>
        <v>11518.98000000001</v>
      </c>
      <c r="Z25" s="190">
        <f t="shared" si="4"/>
        <v>2.3721306801420594E-2</v>
      </c>
      <c r="AA25" s="91"/>
      <c r="AB25" s="198">
        <f t="shared" si="0"/>
        <v>10960.340000000009</v>
      </c>
      <c r="AC25" s="198">
        <f t="shared" si="1"/>
        <v>558.52999999999986</v>
      </c>
      <c r="AD25" s="198">
        <f t="shared" si="2"/>
        <v>0.11</v>
      </c>
      <c r="AE25" s="198">
        <v>1.72</v>
      </c>
      <c r="AF25" s="198">
        <f t="shared" si="5"/>
        <v>11520.70000000001</v>
      </c>
      <c r="AG25" s="190">
        <f t="shared" si="6"/>
        <v>4.8480561077017835E-2</v>
      </c>
      <c r="AI25" s="13" t="s">
        <v>21</v>
      </c>
      <c r="AJ25" s="162">
        <v>3663.7900000000004</v>
      </c>
      <c r="AK25" s="162">
        <v>31405.799999999974</v>
      </c>
      <c r="AL25" s="249">
        <v>0.11665966159117117</v>
      </c>
    </row>
    <row r="26" spans="1:43" x14ac:dyDescent="0.25">
      <c r="A26" s="44" t="s">
        <v>52</v>
      </c>
      <c r="B26" s="45">
        <v>31548.869999999977</v>
      </c>
      <c r="C26" s="45">
        <v>3026.2799999999997</v>
      </c>
      <c r="D26" s="45">
        <v>661.34999999999991</v>
      </c>
      <c r="E26" s="45">
        <v>544.05000000000007</v>
      </c>
      <c r="F26" s="45">
        <v>740.96</v>
      </c>
      <c r="G26" s="45">
        <v>1159.74</v>
      </c>
      <c r="H26" s="45">
        <v>1809.6799999999998</v>
      </c>
      <c r="I26" s="45">
        <v>1325.8200000000002</v>
      </c>
      <c r="J26" s="45">
        <v>2763.8199999999997</v>
      </c>
      <c r="K26" s="45">
        <v>1394.4200000000003</v>
      </c>
      <c r="L26" s="45">
        <v>2012.95</v>
      </c>
      <c r="M26" s="45">
        <v>2153.3700000000003</v>
      </c>
      <c r="N26" s="45">
        <v>1273.0999999999999</v>
      </c>
      <c r="O26" s="45">
        <v>2193.69</v>
      </c>
      <c r="P26" s="45">
        <v>2485.13</v>
      </c>
      <c r="Q26" s="45">
        <v>4521.869999999999</v>
      </c>
      <c r="R26" s="45">
        <v>11960.269999999999</v>
      </c>
      <c r="S26" s="45">
        <v>15985.320000000002</v>
      </c>
      <c r="T26" s="45">
        <v>13300.499999999998</v>
      </c>
      <c r="U26" s="45">
        <v>7862.85</v>
      </c>
      <c r="V26" s="45">
        <v>8053.81</v>
      </c>
      <c r="W26" s="45">
        <v>5788.99</v>
      </c>
      <c r="X26" s="45">
        <v>61.72999999999999</v>
      </c>
      <c r="Y26" s="45">
        <f t="shared" si="3"/>
        <v>122628.56999999999</v>
      </c>
      <c r="Z26" s="189">
        <f t="shared" si="4"/>
        <v>0.25253190226821115</v>
      </c>
      <c r="AA26" s="168"/>
      <c r="AB26" s="197">
        <f t="shared" si="0"/>
        <v>87560.689999999988</v>
      </c>
      <c r="AC26" s="197">
        <f t="shared" si="1"/>
        <v>35006.15</v>
      </c>
      <c r="AD26" s="197">
        <f t="shared" si="2"/>
        <v>61.72999999999999</v>
      </c>
      <c r="AE26" s="197">
        <f>SUM(AE27:AE31)</f>
        <v>178.11</v>
      </c>
      <c r="AF26" s="197">
        <f t="shared" si="5"/>
        <v>122806.68</v>
      </c>
      <c r="AG26" s="189">
        <f t="shared" si="6"/>
        <v>0.28505086205408375</v>
      </c>
      <c r="AI26" s="13" t="s">
        <v>13</v>
      </c>
      <c r="AJ26" s="162">
        <v>2646.2200000000003</v>
      </c>
      <c r="AK26" s="162">
        <v>3859.4700000000003</v>
      </c>
      <c r="AL26" s="249">
        <v>0.68564336553982808</v>
      </c>
    </row>
    <row r="27" spans="1:43" x14ac:dyDescent="0.25">
      <c r="A27" s="13" t="s">
        <v>29</v>
      </c>
      <c r="B27" s="14">
        <v>18943.399999999983</v>
      </c>
      <c r="C27" s="14">
        <v>1533.9199999999996</v>
      </c>
      <c r="D27" s="14">
        <v>423.56999999999994</v>
      </c>
      <c r="E27" s="14">
        <v>343.62000000000006</v>
      </c>
      <c r="F27" s="14">
        <v>434.21999999999997</v>
      </c>
      <c r="G27" s="14">
        <v>591.79999999999995</v>
      </c>
      <c r="H27" s="14">
        <v>950.16</v>
      </c>
      <c r="I27" s="14">
        <v>773.96</v>
      </c>
      <c r="J27" s="14">
        <v>1435.3699999999997</v>
      </c>
      <c r="K27" s="14">
        <v>735.8900000000001</v>
      </c>
      <c r="L27" s="14">
        <v>1064.54</v>
      </c>
      <c r="M27" s="14">
        <v>1155.5800000000004</v>
      </c>
      <c r="N27" s="14">
        <v>560.11</v>
      </c>
      <c r="O27" s="14">
        <v>1110.8000000000002</v>
      </c>
      <c r="P27" s="14">
        <v>1318.3799999999999</v>
      </c>
      <c r="Q27" s="14">
        <v>2286.0899999999997</v>
      </c>
      <c r="R27" s="14">
        <v>6215.8099999999995</v>
      </c>
      <c r="S27" s="14">
        <v>7282.7200000000012</v>
      </c>
      <c r="T27" s="14">
        <v>6258.5099999999993</v>
      </c>
      <c r="U27" s="14">
        <v>3439.95</v>
      </c>
      <c r="V27" s="14">
        <v>4114.9400000000005</v>
      </c>
      <c r="W27" s="14">
        <v>2185.34</v>
      </c>
      <c r="X27" s="14">
        <v>24.359999999999996</v>
      </c>
      <c r="Y27" s="14">
        <f t="shared" si="3"/>
        <v>63183.039999999979</v>
      </c>
      <c r="Z27" s="190">
        <f t="shared" si="4"/>
        <v>0.13011432231729089</v>
      </c>
      <c r="AA27" s="91"/>
      <c r="AB27" s="198">
        <f t="shared" si="0"/>
        <v>47159.939999999981</v>
      </c>
      <c r="AC27" s="198">
        <f t="shared" si="1"/>
        <v>15998.74</v>
      </c>
      <c r="AD27" s="198">
        <f t="shared" si="2"/>
        <v>24.359999999999996</v>
      </c>
      <c r="AE27" s="198">
        <v>90.2</v>
      </c>
      <c r="AF27" s="198">
        <f t="shared" si="5"/>
        <v>63273.239999999976</v>
      </c>
      <c r="AG27" s="190">
        <f t="shared" si="6"/>
        <v>0.25285160045542171</v>
      </c>
      <c r="AI27" s="13" t="s">
        <v>24</v>
      </c>
      <c r="AJ27" s="162">
        <v>2036.5900000000001</v>
      </c>
      <c r="AK27" s="162">
        <v>23626.599999999991</v>
      </c>
      <c r="AL27" s="249">
        <v>8.6199029906969302E-2</v>
      </c>
    </row>
    <row r="28" spans="1:43" x14ac:dyDescent="0.25">
      <c r="A28" s="13" t="s">
        <v>30</v>
      </c>
      <c r="B28" s="14">
        <v>1568.6799999999992</v>
      </c>
      <c r="C28" s="14">
        <v>276.84000000000003</v>
      </c>
      <c r="D28" s="14">
        <v>27.279999999999998</v>
      </c>
      <c r="E28" s="14">
        <v>29.46</v>
      </c>
      <c r="F28" s="14">
        <v>68.28</v>
      </c>
      <c r="G28" s="14">
        <v>86.22999999999999</v>
      </c>
      <c r="H28" s="14">
        <v>152.6</v>
      </c>
      <c r="I28" s="14">
        <v>189.23</v>
      </c>
      <c r="J28" s="14">
        <v>697.03</v>
      </c>
      <c r="K28" s="14">
        <v>133.94000000000003</v>
      </c>
      <c r="L28" s="14">
        <v>115.42000000000002</v>
      </c>
      <c r="M28" s="14">
        <v>192.48000000000002</v>
      </c>
      <c r="N28" s="14">
        <v>108.85</v>
      </c>
      <c r="O28" s="14">
        <v>185.83</v>
      </c>
      <c r="P28" s="14">
        <v>178.19</v>
      </c>
      <c r="Q28" s="14">
        <v>343.65000000000009</v>
      </c>
      <c r="R28" s="14">
        <v>1358.8500000000001</v>
      </c>
      <c r="S28" s="14">
        <v>2910.49</v>
      </c>
      <c r="T28" s="14">
        <v>1994.8299999999997</v>
      </c>
      <c r="U28" s="14">
        <v>1516.6399999999999</v>
      </c>
      <c r="V28" s="14">
        <v>962.42000000000007</v>
      </c>
      <c r="W28" s="14">
        <v>1178.57</v>
      </c>
      <c r="X28" s="14">
        <v>6.4</v>
      </c>
      <c r="Y28" s="14">
        <f t="shared" si="3"/>
        <v>14282.189999999999</v>
      </c>
      <c r="Z28" s="190">
        <f t="shared" si="4"/>
        <v>2.9411650231720245E-2</v>
      </c>
      <c r="AA28" s="91"/>
      <c r="AB28" s="198">
        <f t="shared" si="0"/>
        <v>8623.33</v>
      </c>
      <c r="AC28" s="198">
        <f t="shared" si="1"/>
        <v>5652.4599999999991</v>
      </c>
      <c r="AD28" s="198">
        <f t="shared" si="2"/>
        <v>6.4</v>
      </c>
      <c r="AE28" s="198">
        <v>10.15</v>
      </c>
      <c r="AF28" s="198">
        <f t="shared" si="5"/>
        <v>14292.339999999998</v>
      </c>
      <c r="AG28" s="190">
        <f t="shared" si="6"/>
        <v>0.39548877230740381</v>
      </c>
      <c r="AI28" s="13" t="s">
        <v>18</v>
      </c>
      <c r="AJ28" s="162">
        <v>1419.05</v>
      </c>
      <c r="AK28" s="162">
        <v>3008.73</v>
      </c>
      <c r="AL28" s="249">
        <v>0.47164418209676506</v>
      </c>
    </row>
    <row r="29" spans="1:43" x14ac:dyDescent="0.25">
      <c r="A29" s="13" t="s">
        <v>31</v>
      </c>
      <c r="B29" s="14">
        <v>8241.0699999999961</v>
      </c>
      <c r="C29" s="14">
        <v>624.75</v>
      </c>
      <c r="D29" s="14">
        <v>82.109999999999985</v>
      </c>
      <c r="E29" s="14">
        <v>48.19</v>
      </c>
      <c r="F29" s="14">
        <v>79.98</v>
      </c>
      <c r="G29" s="14">
        <v>119.32000000000001</v>
      </c>
      <c r="H29" s="14">
        <v>309.43999999999988</v>
      </c>
      <c r="I29" s="14">
        <v>92.75</v>
      </c>
      <c r="J29" s="14">
        <v>210.67</v>
      </c>
      <c r="K29" s="14">
        <v>206.72000000000003</v>
      </c>
      <c r="L29" s="14">
        <v>378.77</v>
      </c>
      <c r="M29" s="14">
        <v>387.30999999999995</v>
      </c>
      <c r="N29" s="14">
        <v>275.68999999999994</v>
      </c>
      <c r="O29" s="14">
        <v>315.28999999999996</v>
      </c>
      <c r="P29" s="14">
        <v>436.42000000000007</v>
      </c>
      <c r="Q29" s="14">
        <v>768.43</v>
      </c>
      <c r="R29" s="14">
        <v>1852.92</v>
      </c>
      <c r="S29" s="14">
        <v>3101.4599999999996</v>
      </c>
      <c r="T29" s="14">
        <v>3123.5699999999993</v>
      </c>
      <c r="U29" s="14">
        <v>1771.0800000000002</v>
      </c>
      <c r="V29" s="14">
        <v>1740.74</v>
      </c>
      <c r="W29" s="14">
        <v>1329.04</v>
      </c>
      <c r="X29" s="14">
        <v>20.37</v>
      </c>
      <c r="Y29" s="14">
        <f t="shared" si="3"/>
        <v>25516.09</v>
      </c>
      <c r="Z29" s="190">
        <f t="shared" si="4"/>
        <v>5.2545885075124657E-2</v>
      </c>
      <c r="AA29" s="91"/>
      <c r="AB29" s="198">
        <f t="shared" si="0"/>
        <v>17531.289999999997</v>
      </c>
      <c r="AC29" s="198">
        <f t="shared" si="1"/>
        <v>7964.4299999999994</v>
      </c>
      <c r="AD29" s="198">
        <f t="shared" si="2"/>
        <v>20.37</v>
      </c>
      <c r="AE29" s="198">
        <v>46.07</v>
      </c>
      <c r="AF29" s="198">
        <f t="shared" si="5"/>
        <v>25562.159999999996</v>
      </c>
      <c r="AG29" s="190">
        <f t="shared" si="6"/>
        <v>0.31157108788928639</v>
      </c>
      <c r="AI29" s="13" t="s">
        <v>19</v>
      </c>
      <c r="AJ29" s="162">
        <v>1304.9199999999998</v>
      </c>
      <c r="AK29" s="162">
        <v>9066.6299999999974</v>
      </c>
      <c r="AL29" s="249">
        <v>0.14392558205198627</v>
      </c>
    </row>
    <row r="30" spans="1:43" x14ac:dyDescent="0.25">
      <c r="A30" s="13" t="s">
        <v>32</v>
      </c>
      <c r="B30" s="14">
        <v>83.379999999999967</v>
      </c>
      <c r="C30" s="14">
        <v>8.3000000000000007</v>
      </c>
      <c r="D30" s="14">
        <v>4.3</v>
      </c>
      <c r="E30" s="14">
        <v>0.94</v>
      </c>
      <c r="F30" s="14">
        <v>0.21</v>
      </c>
      <c r="G30" s="14">
        <v>4.2699999999999996</v>
      </c>
      <c r="H30" s="14">
        <v>8.6300000000000008</v>
      </c>
      <c r="I30" s="14">
        <v>2.23</v>
      </c>
      <c r="J30" s="14">
        <v>0.63</v>
      </c>
      <c r="K30" s="14">
        <v>10.91</v>
      </c>
      <c r="L30" s="14">
        <v>7.0200000000000005</v>
      </c>
      <c r="M30" s="14">
        <v>5.47</v>
      </c>
      <c r="N30" s="14">
        <v>5.77</v>
      </c>
      <c r="O30" s="14">
        <v>3.1500000000000004</v>
      </c>
      <c r="P30" s="14">
        <v>4.8999999999999995</v>
      </c>
      <c r="Q30" s="14">
        <v>8.7999999999999989</v>
      </c>
      <c r="R30" s="14">
        <v>11.309999999999999</v>
      </c>
      <c r="S30" s="14">
        <v>19.170000000000002</v>
      </c>
      <c r="T30" s="14">
        <v>30.9</v>
      </c>
      <c r="U30" s="14">
        <v>38.580000000000005</v>
      </c>
      <c r="V30" s="14">
        <v>66.14</v>
      </c>
      <c r="W30" s="14">
        <v>46.089999999999996</v>
      </c>
      <c r="X30" s="14">
        <v>1.05</v>
      </c>
      <c r="Y30" s="14">
        <f t="shared" si="3"/>
        <v>372.15</v>
      </c>
      <c r="Z30" s="190">
        <f t="shared" si="4"/>
        <v>7.6637725963137927E-4</v>
      </c>
      <c r="AA30" s="91"/>
      <c r="AB30" s="198">
        <f t="shared" si="0"/>
        <v>189.39</v>
      </c>
      <c r="AC30" s="198">
        <f t="shared" si="1"/>
        <v>181.71</v>
      </c>
      <c r="AD30" s="198">
        <f t="shared" si="2"/>
        <v>1.05</v>
      </c>
      <c r="AE30" s="198">
        <v>4.2699999999999996</v>
      </c>
      <c r="AF30" s="198">
        <f t="shared" si="5"/>
        <v>376.42</v>
      </c>
      <c r="AG30" s="190">
        <f t="shared" si="6"/>
        <v>0.48273205461983953</v>
      </c>
      <c r="AI30" s="13" t="s">
        <v>20</v>
      </c>
      <c r="AJ30" s="162">
        <v>939.19999999999993</v>
      </c>
      <c r="AK30" s="162">
        <v>18375.82</v>
      </c>
      <c r="AL30" s="249">
        <v>5.1110644314104073E-2</v>
      </c>
    </row>
    <row r="31" spans="1:43" x14ac:dyDescent="0.25">
      <c r="A31" s="13" t="s">
        <v>33</v>
      </c>
      <c r="B31" s="14">
        <v>2712.3399999999951</v>
      </c>
      <c r="C31" s="14">
        <v>582.47</v>
      </c>
      <c r="D31" s="14">
        <v>124.09</v>
      </c>
      <c r="E31" s="14">
        <v>121.83999999999999</v>
      </c>
      <c r="F31" s="14">
        <v>158.27000000000001</v>
      </c>
      <c r="G31" s="14">
        <v>358.11999999999995</v>
      </c>
      <c r="H31" s="14">
        <v>388.84999999999997</v>
      </c>
      <c r="I31" s="14">
        <v>267.64999999999998</v>
      </c>
      <c r="J31" s="14">
        <v>420.12</v>
      </c>
      <c r="K31" s="14">
        <v>306.95999999999998</v>
      </c>
      <c r="L31" s="14">
        <v>447.2</v>
      </c>
      <c r="M31" s="14">
        <v>412.52999999999992</v>
      </c>
      <c r="N31" s="14">
        <v>322.67999999999995</v>
      </c>
      <c r="O31" s="14">
        <v>578.61999999999989</v>
      </c>
      <c r="P31" s="14">
        <v>547.24</v>
      </c>
      <c r="Q31" s="14">
        <v>1114.8999999999996</v>
      </c>
      <c r="R31" s="14">
        <v>2521.3799999999997</v>
      </c>
      <c r="S31" s="14">
        <v>2671.4800000000009</v>
      </c>
      <c r="T31" s="14">
        <v>1892.6899999999998</v>
      </c>
      <c r="U31" s="14">
        <v>1096.6000000000001</v>
      </c>
      <c r="V31" s="14">
        <v>1169.57</v>
      </c>
      <c r="W31" s="14">
        <v>1049.95</v>
      </c>
      <c r="X31" s="14">
        <v>9.5500000000000007</v>
      </c>
      <c r="Y31" s="14">
        <f t="shared" si="3"/>
        <v>19275.099999999995</v>
      </c>
      <c r="Z31" s="190">
        <f t="shared" si="4"/>
        <v>3.9693667384443895E-2</v>
      </c>
      <c r="AA31" s="91"/>
      <c r="AB31" s="198">
        <f t="shared" si="0"/>
        <v>14056.739999999994</v>
      </c>
      <c r="AC31" s="198">
        <f t="shared" si="1"/>
        <v>5208.8099999999995</v>
      </c>
      <c r="AD31" s="198">
        <f t="shared" si="2"/>
        <v>9.5500000000000007</v>
      </c>
      <c r="AE31" s="198">
        <v>27.42</v>
      </c>
      <c r="AF31" s="198">
        <f t="shared" si="5"/>
        <v>19302.519999999993</v>
      </c>
      <c r="AG31" s="190">
        <f t="shared" si="6"/>
        <v>0.26985129402793012</v>
      </c>
      <c r="AI31" s="13" t="s">
        <v>16</v>
      </c>
      <c r="AJ31" s="162">
        <v>713.14</v>
      </c>
      <c r="AK31" s="162">
        <v>3033.559999999999</v>
      </c>
      <c r="AL31" s="249">
        <v>0.23508353221957048</v>
      </c>
    </row>
    <row r="32" spans="1:43" x14ac:dyDescent="0.25">
      <c r="A32" s="44" t="s">
        <v>53</v>
      </c>
      <c r="B32" s="45">
        <v>759.91000000000008</v>
      </c>
      <c r="C32" s="45">
        <v>113.7</v>
      </c>
      <c r="D32" s="45">
        <v>4.9000000000000004</v>
      </c>
      <c r="E32" s="45">
        <v>1.8499999999999999</v>
      </c>
      <c r="F32" s="45">
        <v>25.14</v>
      </c>
      <c r="G32" s="45">
        <v>9.9700000000000006</v>
      </c>
      <c r="H32" s="45">
        <v>24.83</v>
      </c>
      <c r="I32" s="45">
        <v>4.8600000000000003</v>
      </c>
      <c r="J32" s="45">
        <v>10.210000000000001</v>
      </c>
      <c r="K32" s="45">
        <v>4.13</v>
      </c>
      <c r="L32" s="45">
        <v>11.600000000000001</v>
      </c>
      <c r="M32" s="45">
        <v>21.93</v>
      </c>
      <c r="N32" s="45">
        <v>14.870000000000001</v>
      </c>
      <c r="O32" s="45">
        <v>15.039999999999997</v>
      </c>
      <c r="P32" s="45">
        <v>34.18</v>
      </c>
      <c r="Q32" s="45">
        <v>31.78</v>
      </c>
      <c r="R32" s="45">
        <v>132.79000000000002</v>
      </c>
      <c r="S32" s="45">
        <v>157.14000000000001</v>
      </c>
      <c r="T32" s="45">
        <v>241.88000000000002</v>
      </c>
      <c r="U32" s="45">
        <v>275.77999999999997</v>
      </c>
      <c r="V32" s="45">
        <v>279.08</v>
      </c>
      <c r="W32" s="45">
        <v>200.51000000000002</v>
      </c>
      <c r="X32" s="45">
        <v>7.82</v>
      </c>
      <c r="Y32" s="45">
        <f t="shared" si="3"/>
        <v>2383.9000000000005</v>
      </c>
      <c r="Z32" s="189">
        <f t="shared" si="4"/>
        <v>4.9092214140406976E-3</v>
      </c>
      <c r="AA32" s="168"/>
      <c r="AB32" s="197">
        <f t="shared" si="0"/>
        <v>1378.8300000000002</v>
      </c>
      <c r="AC32" s="197">
        <f t="shared" si="1"/>
        <v>997.25</v>
      </c>
      <c r="AD32" s="197">
        <f t="shared" si="2"/>
        <v>7.82</v>
      </c>
      <c r="AE32" s="197"/>
      <c r="AF32" s="197">
        <f t="shared" si="5"/>
        <v>2383.9</v>
      </c>
      <c r="AG32" s="189">
        <f t="shared" si="6"/>
        <v>0.41832711103653675</v>
      </c>
      <c r="AI32" s="13" t="s">
        <v>23</v>
      </c>
      <c r="AJ32" s="162">
        <v>706.86999999999989</v>
      </c>
      <c r="AK32" s="162">
        <v>17921.03</v>
      </c>
      <c r="AL32" s="249">
        <v>3.9443603408955842E-2</v>
      </c>
    </row>
    <row r="33" spans="1:38" x14ac:dyDescent="0.25">
      <c r="A33" s="13" t="s">
        <v>34</v>
      </c>
      <c r="B33" s="14">
        <v>7.6899999999999995</v>
      </c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>
        <v>2.71</v>
      </c>
      <c r="S33" s="14">
        <v>9.4</v>
      </c>
      <c r="T33" s="14">
        <v>1.24</v>
      </c>
      <c r="U33" s="14">
        <v>3.5500000000000003</v>
      </c>
      <c r="V33" s="14">
        <v>18.37</v>
      </c>
      <c r="W33" s="14">
        <v>5.19</v>
      </c>
      <c r="X33" s="14"/>
      <c r="Y33" s="14">
        <f t="shared" si="3"/>
        <v>48.149999999999991</v>
      </c>
      <c r="Z33" s="190">
        <f t="shared" si="4"/>
        <v>9.9156428997046638E-5</v>
      </c>
      <c r="AA33" s="91"/>
      <c r="AB33" s="198">
        <f t="shared" si="0"/>
        <v>19.799999999999997</v>
      </c>
      <c r="AC33" s="198">
        <f t="shared" si="1"/>
        <v>28.35</v>
      </c>
      <c r="AD33" s="198">
        <f t="shared" si="2"/>
        <v>0</v>
      </c>
      <c r="AE33" s="198"/>
      <c r="AF33" s="198">
        <f t="shared" si="5"/>
        <v>48.15</v>
      </c>
      <c r="AG33" s="190">
        <f t="shared" si="6"/>
        <v>0.58878504672897203</v>
      </c>
      <c r="AI33" s="13" t="s">
        <v>22</v>
      </c>
      <c r="AJ33" s="162">
        <v>577.57999999999993</v>
      </c>
      <c r="AK33" s="162">
        <v>11774.529999999999</v>
      </c>
      <c r="AL33" s="249">
        <v>4.905333801009467E-2</v>
      </c>
    </row>
    <row r="34" spans="1:38" x14ac:dyDescent="0.25">
      <c r="A34" s="13" t="s">
        <v>35</v>
      </c>
      <c r="B34" s="14">
        <v>35.910000000000018</v>
      </c>
      <c r="C34" s="14">
        <v>3.1999999999999997</v>
      </c>
      <c r="D34" s="14">
        <v>0.47000000000000003</v>
      </c>
      <c r="E34" s="14">
        <v>1.1299999999999999</v>
      </c>
      <c r="F34" s="14">
        <v>0.26</v>
      </c>
      <c r="G34" s="14">
        <v>0.64</v>
      </c>
      <c r="H34" s="14">
        <v>0.33999999999999997</v>
      </c>
      <c r="I34" s="14">
        <v>0.37</v>
      </c>
      <c r="J34" s="14"/>
      <c r="K34" s="14">
        <v>0.24</v>
      </c>
      <c r="L34" s="14">
        <v>0.92999999999999994</v>
      </c>
      <c r="M34" s="14">
        <v>3.6</v>
      </c>
      <c r="N34" s="14">
        <v>0.68</v>
      </c>
      <c r="O34" s="14">
        <v>2.29</v>
      </c>
      <c r="P34" s="14">
        <v>0.15000000000000002</v>
      </c>
      <c r="Q34" s="14">
        <v>0.21000000000000002</v>
      </c>
      <c r="R34" s="14">
        <v>1.31</v>
      </c>
      <c r="S34" s="14">
        <v>5.4799999999999995</v>
      </c>
      <c r="T34" s="14">
        <v>45.680000000000007</v>
      </c>
      <c r="U34" s="14">
        <v>25.16</v>
      </c>
      <c r="V34" s="14">
        <v>9.9400000000000013</v>
      </c>
      <c r="W34" s="14">
        <v>0.75</v>
      </c>
      <c r="X34" s="14">
        <v>0.46</v>
      </c>
      <c r="Y34" s="14">
        <f t="shared" si="3"/>
        <v>139.20000000000005</v>
      </c>
      <c r="Z34" s="190">
        <f t="shared" si="4"/>
        <v>2.8665783834660227E-4</v>
      </c>
      <c r="AA34" s="91"/>
      <c r="AB34" s="198">
        <f t="shared" si="0"/>
        <v>57.210000000000022</v>
      </c>
      <c r="AC34" s="198">
        <f t="shared" si="1"/>
        <v>81.53</v>
      </c>
      <c r="AD34" s="198">
        <f t="shared" si="2"/>
        <v>0.46</v>
      </c>
      <c r="AE34" s="198"/>
      <c r="AF34" s="198">
        <f t="shared" si="5"/>
        <v>139.20000000000002</v>
      </c>
      <c r="AG34" s="190">
        <f t="shared" si="6"/>
        <v>0.58570402298850566</v>
      </c>
      <c r="AI34" s="13" t="s">
        <v>28</v>
      </c>
      <c r="AJ34" s="162">
        <v>558.52999999999986</v>
      </c>
      <c r="AK34" s="162">
        <v>11520.70000000001</v>
      </c>
      <c r="AL34" s="249">
        <v>4.8480561077017835E-2</v>
      </c>
    </row>
    <row r="35" spans="1:38" x14ac:dyDescent="0.25">
      <c r="A35" s="13" t="s">
        <v>36</v>
      </c>
      <c r="B35" s="14">
        <v>1.1100000000000001</v>
      </c>
      <c r="C35" s="14">
        <v>0.33999999999999997</v>
      </c>
      <c r="D35" s="14"/>
      <c r="E35" s="14"/>
      <c r="F35" s="14"/>
      <c r="G35" s="14"/>
      <c r="H35" s="14"/>
      <c r="I35" s="14"/>
      <c r="J35" s="14"/>
      <c r="K35" s="14">
        <v>0.11</v>
      </c>
      <c r="L35" s="14">
        <v>0.6</v>
      </c>
      <c r="M35" s="14">
        <v>0.58000000000000007</v>
      </c>
      <c r="N35" s="14">
        <v>1.31</v>
      </c>
      <c r="O35" s="14">
        <v>0.64</v>
      </c>
      <c r="P35" s="14">
        <v>2.1800000000000002</v>
      </c>
      <c r="Q35" s="14">
        <v>2.08</v>
      </c>
      <c r="R35" s="14">
        <v>2.23</v>
      </c>
      <c r="S35" s="14">
        <v>21.9</v>
      </c>
      <c r="T35" s="14">
        <v>1.93</v>
      </c>
      <c r="U35" s="14">
        <v>23.56</v>
      </c>
      <c r="V35" s="14">
        <v>9.5200000000000014</v>
      </c>
      <c r="W35" s="14">
        <v>3.53</v>
      </c>
      <c r="X35" s="14">
        <v>0.56000000000000005</v>
      </c>
      <c r="Y35" s="14">
        <f t="shared" si="3"/>
        <v>72.179999999999993</v>
      </c>
      <c r="Z35" s="190">
        <f t="shared" si="4"/>
        <v>1.4864197393575965E-4</v>
      </c>
      <c r="AA35" s="91"/>
      <c r="AB35" s="198">
        <f t="shared" si="0"/>
        <v>33.08</v>
      </c>
      <c r="AC35" s="198">
        <f t="shared" si="1"/>
        <v>38.54</v>
      </c>
      <c r="AD35" s="198">
        <f t="shared" si="2"/>
        <v>0.56000000000000005</v>
      </c>
      <c r="AE35" s="198"/>
      <c r="AF35" s="198">
        <f t="shared" si="5"/>
        <v>72.180000000000007</v>
      </c>
      <c r="AG35" s="190">
        <f t="shared" si="6"/>
        <v>0.5339429204765862</v>
      </c>
      <c r="AI35" s="13" t="s">
        <v>12</v>
      </c>
      <c r="AJ35" s="162">
        <v>462.99</v>
      </c>
      <c r="AK35" s="162">
        <v>759.85</v>
      </c>
      <c r="AL35" s="249">
        <v>0.60931762847930515</v>
      </c>
    </row>
    <row r="36" spans="1:38" x14ac:dyDescent="0.25">
      <c r="A36" s="13" t="s">
        <v>37</v>
      </c>
      <c r="B36" s="14">
        <v>0.98</v>
      </c>
      <c r="C36" s="14">
        <v>0.33</v>
      </c>
      <c r="D36" s="14"/>
      <c r="E36" s="14"/>
      <c r="F36" s="14">
        <v>0.16</v>
      </c>
      <c r="G36" s="14"/>
      <c r="H36" s="14">
        <v>1.02</v>
      </c>
      <c r="I36" s="14"/>
      <c r="J36" s="14"/>
      <c r="K36" s="14"/>
      <c r="L36" s="14">
        <v>0.87</v>
      </c>
      <c r="M36" s="14"/>
      <c r="N36" s="14"/>
      <c r="O36" s="14">
        <v>7.0000000000000007E-2</v>
      </c>
      <c r="P36" s="14"/>
      <c r="Q36" s="14">
        <v>4.1000000000000005</v>
      </c>
      <c r="R36" s="14"/>
      <c r="S36" s="14">
        <v>3.05</v>
      </c>
      <c r="T36" s="14">
        <v>1.17</v>
      </c>
      <c r="U36" s="14">
        <v>4.76</v>
      </c>
      <c r="V36" s="14">
        <v>7.4800000000000013</v>
      </c>
      <c r="W36" s="14">
        <v>7.0500000000000007</v>
      </c>
      <c r="X36" s="14">
        <v>0.41</v>
      </c>
      <c r="Y36" s="14">
        <f t="shared" si="3"/>
        <v>31.450000000000003</v>
      </c>
      <c r="Z36" s="190">
        <f t="shared" si="4"/>
        <v>6.4765725689659766E-5</v>
      </c>
      <c r="AA36" s="91"/>
      <c r="AB36" s="198">
        <f t="shared" ref="AB36:AB56" si="7">SUM(B36:S36)</f>
        <v>10.580000000000002</v>
      </c>
      <c r="AC36" s="198">
        <f t="shared" ref="AC36:AC56" si="8">SUM(T36:W36)</f>
        <v>20.46</v>
      </c>
      <c r="AD36" s="198">
        <f t="shared" ref="AD36:AD56" si="9">X36</f>
        <v>0.41</v>
      </c>
      <c r="AE36" s="198"/>
      <c r="AF36" s="198">
        <f t="shared" si="5"/>
        <v>31.450000000000003</v>
      </c>
      <c r="AG36" s="190">
        <f t="shared" si="6"/>
        <v>0.65055643879173286</v>
      </c>
      <c r="AI36" s="13" t="s">
        <v>17</v>
      </c>
      <c r="AJ36" s="162">
        <v>451.72</v>
      </c>
      <c r="AK36" s="162">
        <v>7010.1299999999928</v>
      </c>
      <c r="AL36" s="249">
        <v>6.4438177323387802E-2</v>
      </c>
    </row>
    <row r="37" spans="1:38" x14ac:dyDescent="0.25">
      <c r="A37" s="13" t="s">
        <v>38</v>
      </c>
      <c r="B37" s="14">
        <v>417.98000000000008</v>
      </c>
      <c r="C37" s="14">
        <v>26.989999999999995</v>
      </c>
      <c r="D37" s="14">
        <v>3.3899999999999997</v>
      </c>
      <c r="E37" s="14"/>
      <c r="F37" s="14">
        <v>6.83</v>
      </c>
      <c r="G37" s="14"/>
      <c r="H37" s="14"/>
      <c r="I37" s="14"/>
      <c r="J37" s="14">
        <v>2.39</v>
      </c>
      <c r="K37" s="14"/>
      <c r="L37" s="14">
        <v>3.74</v>
      </c>
      <c r="M37" s="14"/>
      <c r="N37" s="14">
        <v>0.91</v>
      </c>
      <c r="O37" s="14"/>
      <c r="P37" s="14">
        <v>12.02</v>
      </c>
      <c r="Q37" s="14">
        <v>4.6100000000000003</v>
      </c>
      <c r="R37" s="14">
        <v>14.590000000000002</v>
      </c>
      <c r="S37" s="14">
        <v>9.18</v>
      </c>
      <c r="T37" s="14">
        <v>24.38</v>
      </c>
      <c r="U37" s="14">
        <v>33.29</v>
      </c>
      <c r="V37" s="14">
        <v>31.319999999999997</v>
      </c>
      <c r="W37" s="14">
        <v>10.24</v>
      </c>
      <c r="X37" s="14">
        <v>1.8199999999999998</v>
      </c>
      <c r="Y37" s="14">
        <f t="shared" si="3"/>
        <v>603.68000000000018</v>
      </c>
      <c r="Z37" s="190">
        <f t="shared" si="4"/>
        <v>1.2431724414732532E-3</v>
      </c>
      <c r="AA37" s="91"/>
      <c r="AB37" s="198">
        <f t="shared" si="7"/>
        <v>502.63000000000005</v>
      </c>
      <c r="AC37" s="198">
        <f t="shared" si="8"/>
        <v>99.22999999999999</v>
      </c>
      <c r="AD37" s="198">
        <f t="shared" si="9"/>
        <v>1.8199999999999998</v>
      </c>
      <c r="AE37" s="198"/>
      <c r="AF37" s="198">
        <f t="shared" si="5"/>
        <v>603.68000000000006</v>
      </c>
      <c r="AG37" s="190">
        <f t="shared" si="6"/>
        <v>0.16437516565067581</v>
      </c>
      <c r="AI37" s="13" t="s">
        <v>27</v>
      </c>
      <c r="AJ37" s="162">
        <v>420.98</v>
      </c>
      <c r="AK37" s="162">
        <v>11165.689999999995</v>
      </c>
      <c r="AL37" s="249">
        <v>3.7702999098130095E-2</v>
      </c>
    </row>
    <row r="38" spans="1:38" x14ac:dyDescent="0.25">
      <c r="A38" s="13" t="s">
        <v>39</v>
      </c>
      <c r="B38" s="14">
        <v>1.58</v>
      </c>
      <c r="C38" s="14">
        <v>0.1</v>
      </c>
      <c r="D38" s="14"/>
      <c r="E38" s="14"/>
      <c r="F38" s="14"/>
      <c r="G38" s="14"/>
      <c r="H38" s="14">
        <v>1</v>
      </c>
      <c r="I38" s="14"/>
      <c r="J38" s="14">
        <v>0.14000000000000001</v>
      </c>
      <c r="K38" s="14"/>
      <c r="L38" s="14"/>
      <c r="M38" s="14"/>
      <c r="N38" s="14">
        <v>0.14000000000000001</v>
      </c>
      <c r="O38" s="14">
        <v>0.11</v>
      </c>
      <c r="P38" s="14">
        <v>2.59</v>
      </c>
      <c r="Q38" s="14"/>
      <c r="R38" s="14"/>
      <c r="S38" s="14"/>
      <c r="T38" s="14">
        <v>0.13</v>
      </c>
      <c r="U38" s="14">
        <v>1.6</v>
      </c>
      <c r="V38" s="14">
        <v>0.09</v>
      </c>
      <c r="W38" s="14">
        <v>1.66</v>
      </c>
      <c r="X38" s="14"/>
      <c r="Y38" s="14">
        <f t="shared" si="3"/>
        <v>9.14</v>
      </c>
      <c r="Z38" s="190">
        <f t="shared" si="4"/>
        <v>1.8822217259252473E-5</v>
      </c>
      <c r="AA38" s="91"/>
      <c r="AB38" s="198">
        <f t="shared" si="7"/>
        <v>5.66</v>
      </c>
      <c r="AC38" s="198">
        <f t="shared" si="8"/>
        <v>3.48</v>
      </c>
      <c r="AD38" s="198">
        <f t="shared" si="9"/>
        <v>0</v>
      </c>
      <c r="AE38" s="198"/>
      <c r="AF38" s="198">
        <f t="shared" si="5"/>
        <v>9.14</v>
      </c>
      <c r="AG38" s="190">
        <f t="shared" si="6"/>
        <v>0.38074398249452951</v>
      </c>
      <c r="AI38" s="13" t="s">
        <v>15</v>
      </c>
      <c r="AJ38" s="162">
        <v>213.92</v>
      </c>
      <c r="AK38" s="162">
        <v>663.44999999999993</v>
      </c>
      <c r="AL38" s="249">
        <v>0.32243575250584072</v>
      </c>
    </row>
    <row r="39" spans="1:38" x14ac:dyDescent="0.25">
      <c r="A39" s="13" t="s">
        <v>40</v>
      </c>
      <c r="B39" s="14">
        <v>257.15000000000003</v>
      </c>
      <c r="C39" s="14">
        <v>73.209999999999994</v>
      </c>
      <c r="D39" s="14">
        <v>1.04</v>
      </c>
      <c r="E39" s="14">
        <v>0.18</v>
      </c>
      <c r="F39" s="14">
        <v>13.35</v>
      </c>
      <c r="G39" s="14">
        <v>9.33</v>
      </c>
      <c r="H39" s="14">
        <v>18.84</v>
      </c>
      <c r="I39" s="14">
        <v>4.12</v>
      </c>
      <c r="J39" s="14"/>
      <c r="K39" s="14">
        <v>2.2799999999999998</v>
      </c>
      <c r="L39" s="14">
        <v>1.7399999999999998</v>
      </c>
      <c r="M39" s="14"/>
      <c r="N39" s="14"/>
      <c r="O39" s="14">
        <v>5.379999999999999</v>
      </c>
      <c r="P39" s="14"/>
      <c r="Q39" s="14">
        <v>0.3</v>
      </c>
      <c r="R39" s="14">
        <v>1.74</v>
      </c>
      <c r="S39" s="14"/>
      <c r="T39" s="14">
        <v>1.7</v>
      </c>
      <c r="U39" s="14">
        <v>10.18</v>
      </c>
      <c r="V39" s="14">
        <v>1.59</v>
      </c>
      <c r="W39" s="14"/>
      <c r="X39" s="14">
        <v>2.5300000000000002</v>
      </c>
      <c r="Y39" s="14">
        <f t="shared" si="3"/>
        <v>404.65999999999997</v>
      </c>
      <c r="Z39" s="190">
        <f t="shared" si="4"/>
        <v>8.3332586828546002E-4</v>
      </c>
      <c r="AA39" s="91"/>
      <c r="AB39" s="198">
        <f t="shared" si="7"/>
        <v>388.66</v>
      </c>
      <c r="AC39" s="198">
        <f t="shared" si="8"/>
        <v>13.469999999999999</v>
      </c>
      <c r="AD39" s="198">
        <f t="shared" si="9"/>
        <v>2.5300000000000002</v>
      </c>
      <c r="AE39" s="198"/>
      <c r="AF39" s="198">
        <f t="shared" si="5"/>
        <v>404.65999999999997</v>
      </c>
      <c r="AG39" s="190">
        <f t="shared" si="6"/>
        <v>3.3287204072554734E-2</v>
      </c>
      <c r="AI39" s="13" t="s">
        <v>32</v>
      </c>
      <c r="AJ39" s="162">
        <v>181.71</v>
      </c>
      <c r="AK39" s="162">
        <v>376.42</v>
      </c>
      <c r="AL39" s="249">
        <v>0.48273205461983953</v>
      </c>
    </row>
    <row r="40" spans="1:38" x14ac:dyDescent="0.25">
      <c r="A40" s="13" t="s">
        <v>41</v>
      </c>
      <c r="B40" s="14">
        <v>12.790000000000001</v>
      </c>
      <c r="C40" s="14">
        <v>8.990000000000002</v>
      </c>
      <c r="D40" s="14"/>
      <c r="E40" s="14">
        <v>0.54</v>
      </c>
      <c r="F40" s="14">
        <v>0.08</v>
      </c>
      <c r="G40" s="14"/>
      <c r="H40" s="14"/>
      <c r="I40" s="14"/>
      <c r="J40" s="14">
        <v>4.9000000000000004</v>
      </c>
      <c r="K40" s="14">
        <v>1.27</v>
      </c>
      <c r="L40" s="14">
        <v>0.86</v>
      </c>
      <c r="M40" s="14">
        <v>4.2300000000000004</v>
      </c>
      <c r="N40" s="14">
        <v>11.83</v>
      </c>
      <c r="O40" s="14">
        <v>1.59</v>
      </c>
      <c r="P40" s="14">
        <v>15.56</v>
      </c>
      <c r="Q40" s="14">
        <v>9.870000000000001</v>
      </c>
      <c r="R40" s="14">
        <v>45.71</v>
      </c>
      <c r="S40" s="14">
        <v>17.46</v>
      </c>
      <c r="T40" s="14">
        <v>54.480000000000004</v>
      </c>
      <c r="U40" s="14">
        <v>99.04</v>
      </c>
      <c r="V40" s="14">
        <v>126.18</v>
      </c>
      <c r="W40" s="14">
        <v>149.24</v>
      </c>
      <c r="X40" s="14">
        <v>2.04</v>
      </c>
      <c r="Y40" s="14">
        <f t="shared" si="3"/>
        <v>566.66000000000008</v>
      </c>
      <c r="Z40" s="190">
        <f t="shared" si="4"/>
        <v>1.1669362836026266E-3</v>
      </c>
      <c r="AA40" s="91"/>
      <c r="AB40" s="198">
        <f t="shared" si="7"/>
        <v>135.68</v>
      </c>
      <c r="AC40" s="198">
        <f t="shared" si="8"/>
        <v>428.94000000000005</v>
      </c>
      <c r="AD40" s="198">
        <f t="shared" si="9"/>
        <v>2.04</v>
      </c>
      <c r="AE40" s="198"/>
      <c r="AF40" s="198">
        <f t="shared" si="5"/>
        <v>566.66000000000008</v>
      </c>
      <c r="AG40" s="190">
        <f t="shared" si="6"/>
        <v>0.75696184660996013</v>
      </c>
      <c r="AI40" s="13" t="s">
        <v>25</v>
      </c>
      <c r="AJ40" s="162">
        <v>14.89</v>
      </c>
      <c r="AK40" s="162">
        <v>573.19999999999993</v>
      </c>
      <c r="AL40" s="249">
        <v>2.597697138869505E-2</v>
      </c>
    </row>
    <row r="41" spans="1:38" x14ac:dyDescent="0.25">
      <c r="A41" s="13" t="s">
        <v>42</v>
      </c>
      <c r="B41" s="14">
        <v>24.72</v>
      </c>
      <c r="C41" s="14">
        <v>0.54</v>
      </c>
      <c r="D41" s="14"/>
      <c r="E41" s="14"/>
      <c r="F41" s="14">
        <v>4.4600000000000009</v>
      </c>
      <c r="G41" s="14"/>
      <c r="H41" s="14">
        <v>3.63</v>
      </c>
      <c r="I41" s="14">
        <v>0.37</v>
      </c>
      <c r="J41" s="14">
        <v>2.78</v>
      </c>
      <c r="K41" s="14">
        <v>0.23</v>
      </c>
      <c r="L41" s="14">
        <v>2.8600000000000003</v>
      </c>
      <c r="M41" s="14">
        <v>13.520000000000001</v>
      </c>
      <c r="N41" s="14"/>
      <c r="O41" s="14">
        <v>4.9599999999999991</v>
      </c>
      <c r="P41" s="14">
        <v>1.68</v>
      </c>
      <c r="Q41" s="14">
        <v>10.61</v>
      </c>
      <c r="R41" s="14">
        <v>64.5</v>
      </c>
      <c r="S41" s="14">
        <v>90.670000000000016</v>
      </c>
      <c r="T41" s="14">
        <v>111.17000000000002</v>
      </c>
      <c r="U41" s="14">
        <v>74.64</v>
      </c>
      <c r="V41" s="14">
        <v>74.589999999999989</v>
      </c>
      <c r="W41" s="14">
        <v>22.85</v>
      </c>
      <c r="X41" s="14"/>
      <c r="Y41" s="14">
        <f t="shared" si="3"/>
        <v>508.78000000000003</v>
      </c>
      <c r="Z41" s="190">
        <f t="shared" si="4"/>
        <v>1.0477426364510363E-3</v>
      </c>
      <c r="AA41" s="91"/>
      <c r="AB41" s="198">
        <f t="shared" si="7"/>
        <v>225.53000000000003</v>
      </c>
      <c r="AC41" s="198">
        <f t="shared" si="8"/>
        <v>283.25</v>
      </c>
      <c r="AD41" s="198">
        <f t="shared" si="9"/>
        <v>0</v>
      </c>
      <c r="AE41" s="198"/>
      <c r="AF41" s="198">
        <f t="shared" si="5"/>
        <v>508.78000000000003</v>
      </c>
      <c r="AG41" s="190">
        <f t="shared" si="6"/>
        <v>0.55672392782735169</v>
      </c>
      <c r="AI41" s="13" t="s">
        <v>26</v>
      </c>
      <c r="AJ41" s="162">
        <v>3.32</v>
      </c>
      <c r="AK41" s="162">
        <v>9.75</v>
      </c>
      <c r="AL41" s="249">
        <v>0.3405128205128205</v>
      </c>
    </row>
    <row r="42" spans="1:38" x14ac:dyDescent="0.25">
      <c r="A42" s="44" t="s">
        <v>75</v>
      </c>
      <c r="B42" s="45">
        <v>1577.4300000000003</v>
      </c>
      <c r="C42" s="45">
        <v>133.97999999999999</v>
      </c>
      <c r="D42" s="45">
        <v>10.16</v>
      </c>
      <c r="E42" s="45">
        <v>14.67</v>
      </c>
      <c r="F42" s="45">
        <v>9.48</v>
      </c>
      <c r="G42" s="45">
        <v>28.75</v>
      </c>
      <c r="H42" s="45">
        <v>8.5299999999999994</v>
      </c>
      <c r="I42" s="45">
        <v>2.14</v>
      </c>
      <c r="J42" s="45">
        <v>4.0999999999999996</v>
      </c>
      <c r="K42" s="45">
        <v>4.41</v>
      </c>
      <c r="L42" s="45">
        <v>15.12</v>
      </c>
      <c r="M42" s="45">
        <v>17.330000000000002</v>
      </c>
      <c r="N42" s="45">
        <v>4.04</v>
      </c>
      <c r="O42" s="45">
        <v>7.5399999999999991</v>
      </c>
      <c r="P42" s="45">
        <v>1.04</v>
      </c>
      <c r="Q42" s="45">
        <v>7.5299999999999994</v>
      </c>
      <c r="R42" s="45">
        <v>13.78</v>
      </c>
      <c r="S42" s="45">
        <v>52.2</v>
      </c>
      <c r="T42" s="45">
        <v>41.01</v>
      </c>
      <c r="U42" s="45">
        <v>36.14</v>
      </c>
      <c r="V42" s="45">
        <v>41.63</v>
      </c>
      <c r="W42" s="45">
        <v>7.68</v>
      </c>
      <c r="X42" s="45">
        <v>3.13</v>
      </c>
      <c r="Y42" s="45">
        <f t="shared" si="3"/>
        <v>2041.8200000000006</v>
      </c>
      <c r="Z42" s="189">
        <f t="shared" ref="Z42:Z50" si="10">Y42/$Y$57</f>
        <v>4.2047680135981281E-3</v>
      </c>
      <c r="AA42" s="168"/>
      <c r="AB42" s="197">
        <f t="shared" si="7"/>
        <v>1912.2300000000002</v>
      </c>
      <c r="AC42" s="197">
        <f t="shared" si="8"/>
        <v>126.46000000000001</v>
      </c>
      <c r="AD42" s="197">
        <f t="shared" si="9"/>
        <v>3.13</v>
      </c>
      <c r="AE42" s="197">
        <v>8251.3700000000008</v>
      </c>
      <c r="AF42" s="197">
        <f t="shared" si="5"/>
        <v>10293.19</v>
      </c>
      <c r="AG42" s="189">
        <f t="shared" si="6"/>
        <v>1.2285792839731901E-2</v>
      </c>
    </row>
    <row r="43" spans="1:38" x14ac:dyDescent="0.25">
      <c r="A43" s="13" t="s">
        <v>76</v>
      </c>
      <c r="B43" s="14">
        <v>1577.4300000000003</v>
      </c>
      <c r="C43" s="14">
        <v>133.97999999999999</v>
      </c>
      <c r="D43" s="14">
        <v>10.16</v>
      </c>
      <c r="E43" s="14">
        <v>14.67</v>
      </c>
      <c r="F43" s="14">
        <v>9.48</v>
      </c>
      <c r="G43" s="14">
        <v>28.75</v>
      </c>
      <c r="H43" s="14">
        <v>8.5299999999999994</v>
      </c>
      <c r="I43" s="14">
        <v>2.14</v>
      </c>
      <c r="J43" s="14">
        <v>4.0999999999999996</v>
      </c>
      <c r="K43" s="14">
        <v>4.41</v>
      </c>
      <c r="L43" s="14">
        <v>15.12</v>
      </c>
      <c r="M43" s="14">
        <v>17.330000000000002</v>
      </c>
      <c r="N43" s="14">
        <v>4.04</v>
      </c>
      <c r="O43" s="14">
        <v>7.5399999999999991</v>
      </c>
      <c r="P43" s="14">
        <v>1.04</v>
      </c>
      <c r="Q43" s="14">
        <v>7.5299999999999994</v>
      </c>
      <c r="R43" s="14">
        <v>13.78</v>
      </c>
      <c r="S43" s="14">
        <v>52.2</v>
      </c>
      <c r="T43" s="14">
        <v>41.01</v>
      </c>
      <c r="U43" s="14">
        <v>36.14</v>
      </c>
      <c r="V43" s="14">
        <v>41.63</v>
      </c>
      <c r="W43" s="14">
        <v>7.68</v>
      </c>
      <c r="X43" s="14">
        <v>3.13</v>
      </c>
      <c r="Y43" s="14">
        <f t="shared" si="3"/>
        <v>2041.8200000000006</v>
      </c>
      <c r="Z43" s="190">
        <f t="shared" si="10"/>
        <v>4.2047680135981281E-3</v>
      </c>
      <c r="AA43" s="91"/>
      <c r="AB43" s="198">
        <f t="shared" si="7"/>
        <v>1912.2300000000002</v>
      </c>
      <c r="AC43" s="198">
        <f t="shared" si="8"/>
        <v>126.46000000000001</v>
      </c>
      <c r="AD43" s="198">
        <f t="shared" si="9"/>
        <v>3.13</v>
      </c>
      <c r="AE43" s="198">
        <v>8251.3700000000008</v>
      </c>
      <c r="AF43" s="198">
        <f t="shared" si="5"/>
        <v>10293.19</v>
      </c>
      <c r="AG43" s="190">
        <f t="shared" si="6"/>
        <v>1.2285792839731901E-2</v>
      </c>
    </row>
    <row r="44" spans="1:38" x14ac:dyDescent="0.25">
      <c r="A44" s="44" t="s">
        <v>54</v>
      </c>
      <c r="B44" s="45">
        <v>981.42</v>
      </c>
      <c r="C44" s="45">
        <v>118.86000000000001</v>
      </c>
      <c r="D44" s="45">
        <v>41.14</v>
      </c>
      <c r="E44" s="45">
        <v>14.76</v>
      </c>
      <c r="F44" s="45">
        <v>11.86</v>
      </c>
      <c r="G44" s="45">
        <v>9.41</v>
      </c>
      <c r="H44" s="45">
        <v>34.840000000000003</v>
      </c>
      <c r="I44" s="45">
        <v>13.83</v>
      </c>
      <c r="J44" s="45">
        <v>115.72</v>
      </c>
      <c r="K44" s="45">
        <v>20.81</v>
      </c>
      <c r="L44" s="45">
        <v>67</v>
      </c>
      <c r="M44" s="45">
        <v>121.78999999999998</v>
      </c>
      <c r="N44" s="45">
        <v>62.860000000000007</v>
      </c>
      <c r="O44" s="45">
        <v>44.29</v>
      </c>
      <c r="P44" s="45">
        <v>51.629999999999995</v>
      </c>
      <c r="Q44" s="45">
        <v>90.05</v>
      </c>
      <c r="R44" s="45">
        <v>403.64000000000004</v>
      </c>
      <c r="S44" s="45">
        <v>555.97</v>
      </c>
      <c r="T44" s="45">
        <v>321.44000000000005</v>
      </c>
      <c r="U44" s="45">
        <v>465.37999999999994</v>
      </c>
      <c r="V44" s="45">
        <v>396.53999999999996</v>
      </c>
      <c r="W44" s="45">
        <v>392.78000000000014</v>
      </c>
      <c r="X44" s="45">
        <v>6</v>
      </c>
      <c r="Y44" s="45">
        <f t="shared" si="3"/>
        <v>4342.0200000000004</v>
      </c>
      <c r="Z44" s="189">
        <f t="shared" si="10"/>
        <v>8.9416240463916219E-3</v>
      </c>
      <c r="AA44" s="168"/>
      <c r="AB44" s="197">
        <f t="shared" si="7"/>
        <v>2759.88</v>
      </c>
      <c r="AC44" s="197">
        <f t="shared" si="8"/>
        <v>1576.14</v>
      </c>
      <c r="AD44" s="197">
        <v>6</v>
      </c>
      <c r="AE44" s="197">
        <v>0</v>
      </c>
      <c r="AF44" s="197">
        <f t="shared" si="5"/>
        <v>4342.0200000000004</v>
      </c>
      <c r="AG44" s="189">
        <f t="shared" si="6"/>
        <v>0.36299694612185113</v>
      </c>
    </row>
    <row r="45" spans="1:38" x14ac:dyDescent="0.25">
      <c r="A45" s="13" t="s">
        <v>43</v>
      </c>
      <c r="B45" s="14">
        <v>794.17</v>
      </c>
      <c r="C45" s="14">
        <v>107.73000000000002</v>
      </c>
      <c r="D45" s="14">
        <v>41.14</v>
      </c>
      <c r="E45" s="14">
        <v>14.4</v>
      </c>
      <c r="F45" s="14">
        <v>11.86</v>
      </c>
      <c r="G45" s="14">
        <v>9.32</v>
      </c>
      <c r="H45" s="14">
        <v>22.18</v>
      </c>
      <c r="I45" s="14">
        <v>10.81</v>
      </c>
      <c r="J45" s="14">
        <v>115.72</v>
      </c>
      <c r="K45" s="14">
        <v>20.549999999999997</v>
      </c>
      <c r="L45" s="14">
        <v>66.22</v>
      </c>
      <c r="M45" s="14">
        <v>120.87999999999998</v>
      </c>
      <c r="N45" s="14">
        <v>58.900000000000006</v>
      </c>
      <c r="O45" s="14">
        <v>42.32</v>
      </c>
      <c r="P45" s="14">
        <v>51.629999999999995</v>
      </c>
      <c r="Q45" s="14">
        <v>85.63</v>
      </c>
      <c r="R45" s="14">
        <v>382.40000000000003</v>
      </c>
      <c r="S45" s="14">
        <v>525.26</v>
      </c>
      <c r="T45" s="14">
        <v>285.84000000000003</v>
      </c>
      <c r="U45" s="14">
        <v>433.45999999999992</v>
      </c>
      <c r="V45" s="14">
        <v>341.22999999999996</v>
      </c>
      <c r="W45" s="14">
        <v>386.18000000000012</v>
      </c>
      <c r="X45" s="14">
        <v>3</v>
      </c>
      <c r="Y45" s="14">
        <f t="shared" si="3"/>
        <v>3930.8300000000004</v>
      </c>
      <c r="Z45" s="190">
        <f t="shared" si="10"/>
        <v>8.0948507953159075E-3</v>
      </c>
      <c r="AA45" s="91"/>
      <c r="AB45" s="198">
        <f t="shared" si="7"/>
        <v>2481.12</v>
      </c>
      <c r="AC45" s="198">
        <f t="shared" si="8"/>
        <v>1446.71</v>
      </c>
      <c r="AD45" s="198">
        <v>3</v>
      </c>
      <c r="AE45" s="198"/>
      <c r="AF45" s="198">
        <f t="shared" si="5"/>
        <v>3930.83</v>
      </c>
      <c r="AG45" s="190">
        <f t="shared" si="6"/>
        <v>0.36804186393204491</v>
      </c>
    </row>
    <row r="46" spans="1:38" x14ac:dyDescent="0.25">
      <c r="A46" s="13" t="s">
        <v>44</v>
      </c>
      <c r="B46" s="14">
        <v>187.25000000000003</v>
      </c>
      <c r="C46" s="14">
        <v>11.13</v>
      </c>
      <c r="D46" s="14"/>
      <c r="E46" s="14">
        <v>0.36000000000000004</v>
      </c>
      <c r="F46" s="14"/>
      <c r="G46" s="14">
        <v>0.09</v>
      </c>
      <c r="H46" s="14">
        <v>12.66</v>
      </c>
      <c r="I46" s="14">
        <v>3.02</v>
      </c>
      <c r="J46" s="14"/>
      <c r="K46" s="14">
        <v>0.26</v>
      </c>
      <c r="L46" s="14">
        <v>0.78</v>
      </c>
      <c r="M46" s="14">
        <v>0.91</v>
      </c>
      <c r="N46" s="14">
        <v>3.96</v>
      </c>
      <c r="O46" s="14">
        <v>1.9700000000000002</v>
      </c>
      <c r="P46" s="14"/>
      <c r="Q46" s="14">
        <v>4.42</v>
      </c>
      <c r="R46" s="14">
        <v>21.240000000000002</v>
      </c>
      <c r="S46" s="14">
        <v>30.709999999999997</v>
      </c>
      <c r="T46" s="14">
        <v>35.6</v>
      </c>
      <c r="U46" s="14">
        <v>31.92</v>
      </c>
      <c r="V46" s="14">
        <v>55.31</v>
      </c>
      <c r="W46" s="14">
        <v>6.6</v>
      </c>
      <c r="X46" s="14">
        <v>3</v>
      </c>
      <c r="Y46" s="14">
        <f t="shared" si="3"/>
        <v>411.19000000000011</v>
      </c>
      <c r="Z46" s="190">
        <f t="shared" si="10"/>
        <v>8.4677325107571392E-4</v>
      </c>
      <c r="AA46" s="91"/>
      <c r="AB46" s="198">
        <f t="shared" si="7"/>
        <v>278.76000000000005</v>
      </c>
      <c r="AC46" s="198">
        <f t="shared" si="8"/>
        <v>129.43</v>
      </c>
      <c r="AD46" s="198">
        <v>3</v>
      </c>
      <c r="AE46" s="198"/>
      <c r="AF46" s="198">
        <f t="shared" si="5"/>
        <v>411.19000000000005</v>
      </c>
      <c r="AG46" s="190">
        <f t="shared" si="6"/>
        <v>0.31476932804786106</v>
      </c>
    </row>
    <row r="47" spans="1:38" x14ac:dyDescent="0.25">
      <c r="A47" s="44" t="s">
        <v>55</v>
      </c>
      <c r="B47" s="45">
        <v>3464.0699999999974</v>
      </c>
      <c r="C47" s="45">
        <v>181.23</v>
      </c>
      <c r="D47" s="45">
        <v>13.03</v>
      </c>
      <c r="E47" s="45">
        <v>14.12</v>
      </c>
      <c r="F47" s="45">
        <v>12.35</v>
      </c>
      <c r="G47" s="45">
        <v>68.39</v>
      </c>
      <c r="H47" s="45">
        <v>47.84</v>
      </c>
      <c r="I47" s="45">
        <v>31.519999999999996</v>
      </c>
      <c r="J47" s="45">
        <v>43.12</v>
      </c>
      <c r="K47" s="45">
        <v>41.47</v>
      </c>
      <c r="L47" s="45">
        <v>68.77</v>
      </c>
      <c r="M47" s="45">
        <v>70.06</v>
      </c>
      <c r="N47" s="45">
        <v>62.309999999999995</v>
      </c>
      <c r="O47" s="45">
        <v>44.730000000000004</v>
      </c>
      <c r="P47" s="45">
        <v>46.92</v>
      </c>
      <c r="Q47" s="45">
        <v>120.35</v>
      </c>
      <c r="R47" s="45">
        <v>161.41999999999999</v>
      </c>
      <c r="S47" s="45">
        <v>140.97</v>
      </c>
      <c r="T47" s="45">
        <v>200.52</v>
      </c>
      <c r="U47" s="45">
        <v>178.14</v>
      </c>
      <c r="V47" s="45">
        <v>154.68000000000004</v>
      </c>
      <c r="W47" s="45">
        <v>140.51000000000002</v>
      </c>
      <c r="X47" s="45">
        <v>13.099999999999998</v>
      </c>
      <c r="Y47" s="45">
        <f t="shared" si="3"/>
        <v>5319.619999999999</v>
      </c>
      <c r="Z47" s="189">
        <f t="shared" si="10"/>
        <v>1.0954818750182125E-2</v>
      </c>
      <c r="AA47" s="168"/>
      <c r="AB47" s="197">
        <f t="shared" si="7"/>
        <v>4632.6699999999973</v>
      </c>
      <c r="AC47" s="197">
        <f t="shared" si="8"/>
        <v>673.85</v>
      </c>
      <c r="AD47" s="197">
        <f t="shared" si="9"/>
        <v>13.099999999999998</v>
      </c>
      <c r="AE47" s="197">
        <v>13</v>
      </c>
      <c r="AF47" s="197">
        <f t="shared" si="5"/>
        <v>5332.6199999999981</v>
      </c>
      <c r="AG47" s="189">
        <f t="shared" si="6"/>
        <v>0.12636377615506078</v>
      </c>
    </row>
    <row r="48" spans="1:38" x14ac:dyDescent="0.25">
      <c r="A48" s="13" t="s">
        <v>45</v>
      </c>
      <c r="B48" s="14">
        <v>3464.0699999999974</v>
      </c>
      <c r="C48" s="14">
        <v>181.23</v>
      </c>
      <c r="D48" s="14">
        <v>13.03</v>
      </c>
      <c r="E48" s="14">
        <v>14.12</v>
      </c>
      <c r="F48" s="14">
        <v>12.35</v>
      </c>
      <c r="G48" s="14">
        <v>68.39</v>
      </c>
      <c r="H48" s="14">
        <v>47.84</v>
      </c>
      <c r="I48" s="14">
        <v>31.519999999999996</v>
      </c>
      <c r="J48" s="14">
        <v>43.12</v>
      </c>
      <c r="K48" s="14">
        <v>41.47</v>
      </c>
      <c r="L48" s="14">
        <v>68.77</v>
      </c>
      <c r="M48" s="14">
        <v>70.06</v>
      </c>
      <c r="N48" s="14">
        <v>62.309999999999995</v>
      </c>
      <c r="O48" s="14">
        <v>44.730000000000004</v>
      </c>
      <c r="P48" s="14">
        <v>46.92</v>
      </c>
      <c r="Q48" s="14">
        <v>120.35</v>
      </c>
      <c r="R48" s="14">
        <v>161.41999999999999</v>
      </c>
      <c r="S48" s="14">
        <v>140.97</v>
      </c>
      <c r="T48" s="14">
        <v>200.52</v>
      </c>
      <c r="U48" s="14">
        <v>178.14</v>
      </c>
      <c r="V48" s="14">
        <v>154.68000000000004</v>
      </c>
      <c r="W48" s="14">
        <v>140.51000000000002</v>
      </c>
      <c r="X48" s="14">
        <v>13.099999999999998</v>
      </c>
      <c r="Y48" s="14">
        <f t="shared" si="3"/>
        <v>5319.619999999999</v>
      </c>
      <c r="Z48" s="190">
        <f t="shared" si="10"/>
        <v>1.0954818750182125E-2</v>
      </c>
      <c r="AA48" s="91"/>
      <c r="AB48" s="198">
        <f t="shared" si="7"/>
        <v>4632.6699999999973</v>
      </c>
      <c r="AC48" s="198">
        <f t="shared" si="8"/>
        <v>673.85</v>
      </c>
      <c r="AD48" s="198">
        <f t="shared" si="9"/>
        <v>13.099999999999998</v>
      </c>
      <c r="AE48" s="198">
        <v>13</v>
      </c>
      <c r="AF48" s="198">
        <f t="shared" si="5"/>
        <v>5332.6199999999981</v>
      </c>
      <c r="AG48" s="190">
        <f t="shared" si="6"/>
        <v>0.12636377615506078</v>
      </c>
    </row>
    <row r="49" spans="1:33" x14ac:dyDescent="0.25">
      <c r="A49" s="44" t="s">
        <v>80</v>
      </c>
      <c r="B49" s="45">
        <v>28.250000000000004</v>
      </c>
      <c r="C49" s="45">
        <v>35.31</v>
      </c>
      <c r="D49" s="45"/>
      <c r="E49" s="45"/>
      <c r="F49" s="45"/>
      <c r="G49" s="45">
        <v>1.56</v>
      </c>
      <c r="H49" s="45">
        <v>1.05</v>
      </c>
      <c r="I49" s="45"/>
      <c r="J49" s="45"/>
      <c r="K49" s="45">
        <v>0.85</v>
      </c>
      <c r="L49" s="45">
        <v>0.15</v>
      </c>
      <c r="M49" s="45">
        <v>3.67</v>
      </c>
      <c r="N49" s="45">
        <v>1.9</v>
      </c>
      <c r="O49" s="45">
        <v>0.19</v>
      </c>
      <c r="P49" s="45"/>
      <c r="Q49" s="45">
        <v>10.029999999999999</v>
      </c>
      <c r="R49" s="45">
        <v>7.6800000000000006</v>
      </c>
      <c r="S49" s="45">
        <v>45.5</v>
      </c>
      <c r="T49" s="45">
        <v>12.06</v>
      </c>
      <c r="U49" s="45">
        <v>64.72</v>
      </c>
      <c r="V49" s="45">
        <v>42.3</v>
      </c>
      <c r="W49" s="45">
        <v>34.28</v>
      </c>
      <c r="X49" s="45">
        <v>8.81</v>
      </c>
      <c r="Y49" s="45">
        <f t="shared" si="3"/>
        <v>298.31</v>
      </c>
      <c r="Z49" s="189">
        <f t="shared" si="10"/>
        <v>6.1431680860039438E-4</v>
      </c>
      <c r="AA49" s="168"/>
      <c r="AB49" s="197">
        <f t="shared" si="7"/>
        <v>136.14000000000001</v>
      </c>
      <c r="AC49" s="197">
        <f t="shared" si="8"/>
        <v>153.36000000000001</v>
      </c>
      <c r="AD49" s="197">
        <f t="shared" si="9"/>
        <v>8.81</v>
      </c>
      <c r="AE49" s="197">
        <v>23.85</v>
      </c>
      <c r="AF49" s="197">
        <f t="shared" si="5"/>
        <v>322.16000000000003</v>
      </c>
      <c r="AG49" s="189">
        <f t="shared" si="6"/>
        <v>0.47603675192450956</v>
      </c>
    </row>
    <row r="50" spans="1:33" x14ac:dyDescent="0.25">
      <c r="A50" s="13" t="s">
        <v>81</v>
      </c>
      <c r="B50" s="14">
        <v>28.250000000000004</v>
      </c>
      <c r="C50" s="14">
        <v>35.31</v>
      </c>
      <c r="D50" s="14"/>
      <c r="E50" s="14"/>
      <c r="F50" s="14"/>
      <c r="G50" s="14">
        <v>1.56</v>
      </c>
      <c r="H50" s="14">
        <v>1.05</v>
      </c>
      <c r="I50" s="14"/>
      <c r="J50" s="14"/>
      <c r="K50" s="14">
        <v>0.85</v>
      </c>
      <c r="L50" s="14">
        <v>0.15</v>
      </c>
      <c r="M50" s="14">
        <v>3.67</v>
      </c>
      <c r="N50" s="14">
        <v>1.9</v>
      </c>
      <c r="O50" s="14">
        <v>0.19</v>
      </c>
      <c r="P50" s="14"/>
      <c r="Q50" s="14">
        <v>10.029999999999999</v>
      </c>
      <c r="R50" s="14">
        <v>7.6800000000000006</v>
      </c>
      <c r="S50" s="14">
        <v>45.5</v>
      </c>
      <c r="T50" s="14">
        <v>12.06</v>
      </c>
      <c r="U50" s="14">
        <v>64.72</v>
      </c>
      <c r="V50" s="14">
        <v>42.3</v>
      </c>
      <c r="W50" s="14">
        <v>34.28</v>
      </c>
      <c r="X50" s="14">
        <v>8.81</v>
      </c>
      <c r="Y50" s="14">
        <f t="shared" si="3"/>
        <v>298.31</v>
      </c>
      <c r="Z50" s="190">
        <f t="shared" si="10"/>
        <v>6.1431680860039438E-4</v>
      </c>
      <c r="AA50" s="91"/>
      <c r="AB50" s="198">
        <f t="shared" si="7"/>
        <v>136.14000000000001</v>
      </c>
      <c r="AC50" s="198">
        <f t="shared" si="8"/>
        <v>153.36000000000001</v>
      </c>
      <c r="AD50" s="198">
        <f t="shared" si="9"/>
        <v>8.81</v>
      </c>
      <c r="AE50" s="198">
        <v>23.85</v>
      </c>
      <c r="AF50" s="198">
        <f t="shared" si="5"/>
        <v>322.16000000000003</v>
      </c>
      <c r="AG50" s="190">
        <f t="shared" si="6"/>
        <v>0.47603675192450956</v>
      </c>
    </row>
    <row r="51" spans="1:33" x14ac:dyDescent="0.25">
      <c r="A51" s="44" t="s">
        <v>56</v>
      </c>
      <c r="B51" s="45">
        <v>37809.679999999935</v>
      </c>
      <c r="C51" s="45">
        <v>5218.4799999999996</v>
      </c>
      <c r="D51" s="45">
        <v>679.19000000000017</v>
      </c>
      <c r="E51" s="45">
        <v>670.53</v>
      </c>
      <c r="F51" s="45">
        <v>591.66999999999996</v>
      </c>
      <c r="G51" s="45">
        <v>1267.1400000000003</v>
      </c>
      <c r="H51" s="45">
        <v>1568.3300000000002</v>
      </c>
      <c r="I51" s="45">
        <v>463.46</v>
      </c>
      <c r="J51" s="45">
        <v>987.78</v>
      </c>
      <c r="K51" s="45">
        <v>622.20000000000005</v>
      </c>
      <c r="L51" s="45">
        <v>899.1</v>
      </c>
      <c r="M51" s="45">
        <v>1307.98</v>
      </c>
      <c r="N51" s="45">
        <v>510.51</v>
      </c>
      <c r="O51" s="45">
        <v>684.00000000000011</v>
      </c>
      <c r="P51" s="45">
        <v>954.79</v>
      </c>
      <c r="Q51" s="45">
        <v>1826.0500000000002</v>
      </c>
      <c r="R51" s="45">
        <v>3525.9800000000009</v>
      </c>
      <c r="S51" s="45">
        <v>2993.71</v>
      </c>
      <c r="T51" s="45">
        <v>3526.7200000000003</v>
      </c>
      <c r="U51" s="45">
        <v>2142.2499999999995</v>
      </c>
      <c r="V51" s="45">
        <v>2265</v>
      </c>
      <c r="W51" s="45">
        <v>1215.5399999999997</v>
      </c>
      <c r="X51" s="45">
        <v>530.5100000000001</v>
      </c>
      <c r="Y51" s="45">
        <f t="shared" si="3"/>
        <v>72260.599999999919</v>
      </c>
      <c r="Z51" s="189">
        <f t="shared" ref="Z51:Z56" si="11">Y51/$Y$57</f>
        <v>0.14880795541399755</v>
      </c>
      <c r="AA51" s="168"/>
      <c r="AB51" s="197">
        <f t="shared" si="7"/>
        <v>62580.579999999936</v>
      </c>
      <c r="AC51" s="197">
        <f t="shared" si="8"/>
        <v>9149.5099999999984</v>
      </c>
      <c r="AD51" s="197">
        <f t="shared" si="9"/>
        <v>530.5100000000001</v>
      </c>
      <c r="AE51" s="197">
        <v>0.43</v>
      </c>
      <c r="AF51" s="197">
        <f t="shared" si="5"/>
        <v>72261.029999999926</v>
      </c>
      <c r="AG51" s="189">
        <f t="shared" si="6"/>
        <v>0.12661748663145278</v>
      </c>
    </row>
    <row r="52" spans="1:33" x14ac:dyDescent="0.25">
      <c r="A52" s="13" t="s">
        <v>46</v>
      </c>
      <c r="B52" s="14">
        <v>37809.679999999935</v>
      </c>
      <c r="C52" s="14">
        <v>5218.4799999999996</v>
      </c>
      <c r="D52" s="14">
        <v>679.19000000000017</v>
      </c>
      <c r="E52" s="14">
        <v>670.53</v>
      </c>
      <c r="F52" s="14">
        <v>591.66999999999996</v>
      </c>
      <c r="G52" s="14">
        <v>1267.1400000000003</v>
      </c>
      <c r="H52" s="14">
        <v>1568.3300000000002</v>
      </c>
      <c r="I52" s="14">
        <v>463.46</v>
      </c>
      <c r="J52" s="14">
        <v>987.78</v>
      </c>
      <c r="K52" s="14">
        <v>622.20000000000005</v>
      </c>
      <c r="L52" s="14">
        <v>899.1</v>
      </c>
      <c r="M52" s="14">
        <v>1307.98</v>
      </c>
      <c r="N52" s="14">
        <v>510.51</v>
      </c>
      <c r="O52" s="14">
        <v>684.00000000000011</v>
      </c>
      <c r="P52" s="14">
        <v>954.79</v>
      </c>
      <c r="Q52" s="14">
        <v>1826.0500000000002</v>
      </c>
      <c r="R52" s="14">
        <v>3525.9800000000009</v>
      </c>
      <c r="S52" s="14">
        <v>2993.71</v>
      </c>
      <c r="T52" s="14">
        <v>3526.7200000000003</v>
      </c>
      <c r="U52" s="14">
        <v>2142.2499999999995</v>
      </c>
      <c r="V52" s="14">
        <v>2265</v>
      </c>
      <c r="W52" s="14">
        <v>1215.5399999999997</v>
      </c>
      <c r="X52" s="14">
        <v>530.5100000000001</v>
      </c>
      <c r="Y52" s="14">
        <f t="shared" si="3"/>
        <v>72260.599999999919</v>
      </c>
      <c r="Z52" s="190">
        <f t="shared" si="11"/>
        <v>0.14880795541399755</v>
      </c>
      <c r="AA52" s="91"/>
      <c r="AB52" s="198">
        <f t="shared" si="7"/>
        <v>62580.579999999936</v>
      </c>
      <c r="AC52" s="198">
        <f t="shared" si="8"/>
        <v>9149.5099999999984</v>
      </c>
      <c r="AD52" s="198">
        <f t="shared" si="9"/>
        <v>530.5100000000001</v>
      </c>
      <c r="AE52" s="198">
        <v>0.43</v>
      </c>
      <c r="AF52" s="198">
        <f t="shared" si="5"/>
        <v>72261.029999999926</v>
      </c>
      <c r="AG52" s="190">
        <f t="shared" si="6"/>
        <v>0.12661748663145278</v>
      </c>
    </row>
    <row r="53" spans="1:33" x14ac:dyDescent="0.25">
      <c r="A53" s="44" t="s">
        <v>57</v>
      </c>
      <c r="B53" s="45">
        <v>853.01999999999987</v>
      </c>
      <c r="C53" s="45">
        <v>53.18</v>
      </c>
      <c r="D53" s="45">
        <v>6.4</v>
      </c>
      <c r="E53" s="45">
        <v>5.1300000000000008</v>
      </c>
      <c r="F53" s="45">
        <v>2.4</v>
      </c>
      <c r="G53" s="45">
        <v>4.82</v>
      </c>
      <c r="H53" s="45">
        <v>16.290000000000003</v>
      </c>
      <c r="I53" s="45">
        <v>28.35</v>
      </c>
      <c r="J53" s="45">
        <v>10.47</v>
      </c>
      <c r="K53" s="45">
        <v>25.85</v>
      </c>
      <c r="L53" s="45">
        <v>33.659999999999997</v>
      </c>
      <c r="M53" s="45">
        <v>22.8</v>
      </c>
      <c r="N53" s="45">
        <v>7.97</v>
      </c>
      <c r="O53" s="45">
        <v>7.83</v>
      </c>
      <c r="P53" s="45">
        <v>3.15</v>
      </c>
      <c r="Q53" s="45">
        <v>11.66</v>
      </c>
      <c r="R53" s="45">
        <v>17.170000000000002</v>
      </c>
      <c r="S53" s="45">
        <v>44.300000000000004</v>
      </c>
      <c r="T53" s="45">
        <v>20.800000000000004</v>
      </c>
      <c r="U53" s="45">
        <v>42.65</v>
      </c>
      <c r="V53" s="45">
        <v>60.650000000000006</v>
      </c>
      <c r="W53" s="45">
        <v>50.939999999999991</v>
      </c>
      <c r="X53" s="45">
        <v>2.96</v>
      </c>
      <c r="Y53" s="45">
        <f t="shared" si="3"/>
        <v>1332.4500000000003</v>
      </c>
      <c r="Z53" s="189">
        <f t="shared" si="11"/>
        <v>2.7439456659836938E-3</v>
      </c>
      <c r="AA53" s="168"/>
      <c r="AB53" s="197">
        <f t="shared" si="7"/>
        <v>1154.45</v>
      </c>
      <c r="AC53" s="197">
        <f t="shared" si="8"/>
        <v>175.04</v>
      </c>
      <c r="AD53" s="197">
        <f t="shared" si="9"/>
        <v>2.96</v>
      </c>
      <c r="AE53" s="197">
        <v>5.83</v>
      </c>
      <c r="AF53" s="197">
        <f t="shared" si="5"/>
        <v>1338.28</v>
      </c>
      <c r="AG53" s="189">
        <f t="shared" si="6"/>
        <v>0.13079475147203873</v>
      </c>
    </row>
    <row r="54" spans="1:33" x14ac:dyDescent="0.25">
      <c r="A54" s="13" t="s">
        <v>47</v>
      </c>
      <c r="B54" s="14">
        <v>853.01999999999987</v>
      </c>
      <c r="C54" s="14">
        <v>53.18</v>
      </c>
      <c r="D54" s="14">
        <v>6.4</v>
      </c>
      <c r="E54" s="14">
        <v>5.1300000000000008</v>
      </c>
      <c r="F54" s="14">
        <v>2.4</v>
      </c>
      <c r="G54" s="14">
        <v>4.82</v>
      </c>
      <c r="H54" s="14">
        <v>16.290000000000003</v>
      </c>
      <c r="I54" s="14">
        <v>28.35</v>
      </c>
      <c r="J54" s="14">
        <v>10.47</v>
      </c>
      <c r="K54" s="14">
        <v>25.85</v>
      </c>
      <c r="L54" s="14">
        <v>33.659999999999997</v>
      </c>
      <c r="M54" s="14">
        <v>22.8</v>
      </c>
      <c r="N54" s="14">
        <v>7.97</v>
      </c>
      <c r="O54" s="14">
        <v>7.83</v>
      </c>
      <c r="P54" s="14">
        <v>3.15</v>
      </c>
      <c r="Q54" s="14">
        <v>11.66</v>
      </c>
      <c r="R54" s="14">
        <v>17.170000000000002</v>
      </c>
      <c r="S54" s="14">
        <v>44.300000000000004</v>
      </c>
      <c r="T54" s="14">
        <v>20.800000000000004</v>
      </c>
      <c r="U54" s="14">
        <v>42.65</v>
      </c>
      <c r="V54" s="14">
        <v>60.650000000000006</v>
      </c>
      <c r="W54" s="14">
        <v>50.939999999999991</v>
      </c>
      <c r="X54" s="14">
        <v>2.96</v>
      </c>
      <c r="Y54" s="14">
        <f t="shared" si="3"/>
        <v>1332.4500000000003</v>
      </c>
      <c r="Z54" s="190">
        <f t="shared" si="11"/>
        <v>2.7439456659836938E-3</v>
      </c>
      <c r="AA54" s="91"/>
      <c r="AB54" s="198">
        <f t="shared" si="7"/>
        <v>1154.45</v>
      </c>
      <c r="AC54" s="198">
        <f t="shared" si="8"/>
        <v>175.04</v>
      </c>
      <c r="AD54" s="198">
        <f t="shared" si="9"/>
        <v>2.96</v>
      </c>
      <c r="AE54" s="198">
        <v>5.83</v>
      </c>
      <c r="AF54" s="198">
        <f t="shared" si="5"/>
        <v>1338.28</v>
      </c>
      <c r="AG54" s="190">
        <f t="shared" si="6"/>
        <v>0.13079475147203873</v>
      </c>
    </row>
    <row r="55" spans="1:33" x14ac:dyDescent="0.25">
      <c r="A55" s="44" t="s">
        <v>58</v>
      </c>
      <c r="B55" s="45">
        <v>10.95</v>
      </c>
      <c r="C55" s="45">
        <v>0.66</v>
      </c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>
        <v>0.09</v>
      </c>
      <c r="W55" s="45"/>
      <c r="X55" s="45">
        <v>0.02</v>
      </c>
      <c r="Y55" s="45">
        <f t="shared" si="3"/>
        <v>11.719999999999999</v>
      </c>
      <c r="Z55" s="189">
        <f t="shared" si="11"/>
        <v>2.4135272021711043E-5</v>
      </c>
      <c r="AA55" s="168"/>
      <c r="AB55" s="197">
        <f t="shared" si="7"/>
        <v>11.61</v>
      </c>
      <c r="AC55" s="197">
        <f t="shared" si="8"/>
        <v>0.09</v>
      </c>
      <c r="AD55" s="197">
        <f t="shared" si="9"/>
        <v>0.02</v>
      </c>
      <c r="AE55" s="197"/>
      <c r="AF55" s="197">
        <f t="shared" si="5"/>
        <v>11.719999999999999</v>
      </c>
      <c r="AG55" s="189">
        <f t="shared" si="6"/>
        <v>7.6791808873720143E-3</v>
      </c>
    </row>
    <row r="56" spans="1:33" x14ac:dyDescent="0.25">
      <c r="A56" s="13" t="s">
        <v>48</v>
      </c>
      <c r="B56" s="14">
        <v>10.95</v>
      </c>
      <c r="C56" s="14">
        <v>0.66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>
        <v>0.09</v>
      </c>
      <c r="W56" s="14"/>
      <c r="X56" s="14">
        <v>0.02</v>
      </c>
      <c r="Y56" s="14">
        <f t="shared" si="3"/>
        <v>11.719999999999999</v>
      </c>
      <c r="Z56" s="190">
        <f t="shared" si="11"/>
        <v>2.4135272021711043E-5</v>
      </c>
      <c r="AA56" s="91"/>
      <c r="AB56" s="198">
        <f t="shared" si="7"/>
        <v>11.61</v>
      </c>
      <c r="AC56" s="198">
        <f t="shared" si="8"/>
        <v>0.09</v>
      </c>
      <c r="AD56" s="198">
        <f t="shared" si="9"/>
        <v>0.02</v>
      </c>
      <c r="AE56" s="198"/>
      <c r="AF56" s="198">
        <f t="shared" si="5"/>
        <v>11.719999999999999</v>
      </c>
      <c r="AG56" s="190">
        <f t="shared" si="6"/>
        <v>7.6791808873720143E-3</v>
      </c>
    </row>
    <row r="57" spans="1:33" x14ac:dyDescent="0.25">
      <c r="A57" s="47" t="s">
        <v>59</v>
      </c>
      <c r="B57" s="48">
        <f>SUM(B55,B53,B51,B49,B47,B44,B42,B32,B26,B21,B17,B13,B4)</f>
        <v>239877.55999999985</v>
      </c>
      <c r="C57" s="48">
        <f t="shared" ref="C57:X57" si="12">SUM(C55,C53,C51,C49,C47,C44,C42,C32,C26,C21,C17,C13,C4)</f>
        <v>25680.679999999997</v>
      </c>
      <c r="D57" s="48">
        <f t="shared" si="12"/>
        <v>3049.4500000000003</v>
      </c>
      <c r="E57" s="48">
        <f t="shared" si="12"/>
        <v>3776.3900000000003</v>
      </c>
      <c r="F57" s="48">
        <f t="shared" si="12"/>
        <v>3214.6900000000005</v>
      </c>
      <c r="G57" s="48">
        <f t="shared" si="12"/>
        <v>6055.6</v>
      </c>
      <c r="H57" s="48">
        <f t="shared" si="12"/>
        <v>7773.66</v>
      </c>
      <c r="I57" s="48">
        <f t="shared" si="12"/>
        <v>4632.9900000000007</v>
      </c>
      <c r="J57" s="48">
        <f t="shared" si="12"/>
        <v>7369.27</v>
      </c>
      <c r="K57" s="48">
        <f t="shared" si="12"/>
        <v>4465.2199999999993</v>
      </c>
      <c r="L57" s="48">
        <f t="shared" si="12"/>
        <v>6235.7299999999987</v>
      </c>
      <c r="M57" s="48">
        <f t="shared" si="12"/>
        <v>7028.65</v>
      </c>
      <c r="N57" s="48">
        <f t="shared" si="12"/>
        <v>3448.0600000000004</v>
      </c>
      <c r="O57" s="48">
        <f t="shared" si="12"/>
        <v>5421.6100000000006</v>
      </c>
      <c r="P57" s="48">
        <f t="shared" si="12"/>
        <v>6274.51</v>
      </c>
      <c r="Q57" s="48">
        <f t="shared" si="12"/>
        <v>12146.949999999999</v>
      </c>
      <c r="R57" s="48">
        <f t="shared" si="12"/>
        <v>25663.399999999998</v>
      </c>
      <c r="S57" s="48">
        <f t="shared" si="12"/>
        <v>31328.39</v>
      </c>
      <c r="T57" s="48">
        <f t="shared" si="12"/>
        <v>29014.71</v>
      </c>
      <c r="U57" s="48">
        <f t="shared" si="12"/>
        <v>19033.169999999998</v>
      </c>
      <c r="V57" s="48">
        <f t="shared" si="12"/>
        <v>19150.91</v>
      </c>
      <c r="W57" s="48">
        <f t="shared" si="12"/>
        <v>13481.98</v>
      </c>
      <c r="X57" s="48">
        <f t="shared" si="12"/>
        <v>1472.77</v>
      </c>
      <c r="Y57" s="48">
        <f>SUM(Y55,Y53,Y51,Y49,Y47,Y44,Y42,Y32,Y26,Y21,Y17,Y13,Y4)</f>
        <v>485596.3499999998</v>
      </c>
      <c r="Z57" s="191">
        <f t="shared" ref="Z57:AE57" si="13">SUM(Z55,Z53,Z51,Z49,Z47,Z44,Z42,Z32,Z26,Z21,Z17,Z13,Z4)</f>
        <v>1</v>
      </c>
      <c r="AA57" s="195"/>
      <c r="AB57" s="199">
        <f>SUM(AB55,AB53,AB51,AB49,AB47,AB44,AB42,AB32,AB26,AB21,AB17,AB13,AB4)</f>
        <v>403442.80999999982</v>
      </c>
      <c r="AC57" s="199">
        <f t="shared" si="13"/>
        <v>80680.77</v>
      </c>
      <c r="AD57" s="199">
        <f t="shared" si="13"/>
        <v>1472.77</v>
      </c>
      <c r="AE57" s="199">
        <f t="shared" si="13"/>
        <v>11450.920000000002</v>
      </c>
      <c r="AF57" s="199">
        <f>AB57+AC57+AD57+AE57</f>
        <v>497047.26999999984</v>
      </c>
      <c r="AG57" s="200">
        <f t="shared" si="6"/>
        <v>0.16232011494600912</v>
      </c>
    </row>
    <row r="58" spans="1:33" x14ac:dyDescent="0.25">
      <c r="A58" s="248" t="s">
        <v>284</v>
      </c>
      <c r="B58" s="158"/>
      <c r="C58" s="158">
        <f>C57+B57</f>
        <v>265558.23999999987</v>
      </c>
      <c r="D58" s="158">
        <f>D57+C58</f>
        <v>268607.68999999989</v>
      </c>
      <c r="E58" s="158">
        <f>E57+D58</f>
        <v>272384.0799999999</v>
      </c>
      <c r="F58" s="158">
        <f t="shared" ref="F58:W58" si="14">F57+E58</f>
        <v>275598.7699999999</v>
      </c>
      <c r="G58" s="158">
        <f t="shared" si="14"/>
        <v>281654.36999999988</v>
      </c>
      <c r="H58" s="158">
        <f t="shared" si="14"/>
        <v>289428.02999999985</v>
      </c>
      <c r="I58" s="158">
        <f t="shared" si="14"/>
        <v>294061.01999999984</v>
      </c>
      <c r="J58" s="158">
        <f t="shared" si="14"/>
        <v>301430.28999999986</v>
      </c>
      <c r="K58" s="158">
        <f t="shared" si="14"/>
        <v>305895.50999999983</v>
      </c>
      <c r="L58" s="158">
        <f t="shared" si="14"/>
        <v>312131.23999999982</v>
      </c>
      <c r="M58" s="158">
        <f t="shared" si="14"/>
        <v>319159.88999999984</v>
      </c>
      <c r="N58" s="158">
        <f t="shared" si="14"/>
        <v>322607.94999999984</v>
      </c>
      <c r="O58" s="158">
        <f t="shared" si="14"/>
        <v>328029.55999999982</v>
      </c>
      <c r="P58" s="158">
        <f t="shared" si="14"/>
        <v>334304.06999999983</v>
      </c>
      <c r="Q58" s="158">
        <f t="shared" si="14"/>
        <v>346451.01999999984</v>
      </c>
      <c r="R58" s="158">
        <f t="shared" si="14"/>
        <v>372114.41999999987</v>
      </c>
      <c r="S58" s="158">
        <f t="shared" si="14"/>
        <v>403442.80999999988</v>
      </c>
      <c r="T58" s="158">
        <f t="shared" si="14"/>
        <v>432457.5199999999</v>
      </c>
      <c r="U58" s="158">
        <f t="shared" si="14"/>
        <v>451490.68999999989</v>
      </c>
      <c r="V58" s="158">
        <f t="shared" si="14"/>
        <v>470641.59999999986</v>
      </c>
      <c r="W58" s="158">
        <f t="shared" si="14"/>
        <v>484123.57999999984</v>
      </c>
      <c r="X58" s="158"/>
      <c r="Y58" s="158"/>
      <c r="Z58" s="91"/>
      <c r="AA58" s="91"/>
      <c r="AF58" s="162"/>
    </row>
    <row r="59" spans="1:33" x14ac:dyDescent="0.25">
      <c r="A59" s="157" t="s">
        <v>285</v>
      </c>
      <c r="B59" s="158"/>
      <c r="C59" s="158"/>
      <c r="D59" s="91">
        <f>D58/C58-1</f>
        <v>1.148316843792907E-2</v>
      </c>
      <c r="E59" s="91">
        <f>E58/D58-1</f>
        <v>1.4059128389064313E-2</v>
      </c>
      <c r="F59" s="91">
        <f t="shared" ref="F59:W59" si="15">F58/E58-1</f>
        <v>1.1802048049210478E-2</v>
      </c>
      <c r="G59" s="91">
        <f t="shared" si="15"/>
        <v>2.1972521865754269E-2</v>
      </c>
      <c r="H59" s="91">
        <f t="shared" si="15"/>
        <v>2.7599997827123968E-2</v>
      </c>
      <c r="I59" s="91">
        <f t="shared" si="15"/>
        <v>1.6007399145134604E-2</v>
      </c>
      <c r="J59" s="91">
        <f t="shared" si="15"/>
        <v>2.5060342917942791E-2</v>
      </c>
      <c r="K59" s="91">
        <f t="shared" si="15"/>
        <v>1.4813441608671596E-2</v>
      </c>
      <c r="L59" s="91">
        <f t="shared" si="15"/>
        <v>2.0385163548167107E-2</v>
      </c>
      <c r="M59" s="91">
        <f t="shared" si="15"/>
        <v>2.2518252258248994E-2</v>
      </c>
      <c r="N59" s="91">
        <f t="shared" si="15"/>
        <v>1.0803550533871942E-2</v>
      </c>
      <c r="O59" s="91">
        <f t="shared" si="15"/>
        <v>1.680556849265491E-2</v>
      </c>
      <c r="P59" s="91">
        <f t="shared" si="15"/>
        <v>1.9127879816684956E-2</v>
      </c>
      <c r="Q59" s="91">
        <f t="shared" si="15"/>
        <v>3.6335034748455231E-2</v>
      </c>
      <c r="R59" s="91">
        <f t="shared" si="15"/>
        <v>7.4075117458161976E-2</v>
      </c>
      <c r="S59" s="91">
        <f t="shared" si="15"/>
        <v>8.4190206872391649E-2</v>
      </c>
      <c r="T59" s="91">
        <f t="shared" si="15"/>
        <v>7.1917776896309071E-2</v>
      </c>
      <c r="U59" s="91">
        <f t="shared" si="15"/>
        <v>4.4011652288992398E-2</v>
      </c>
      <c r="V59" s="91">
        <f t="shared" si="15"/>
        <v>4.2417065122649644E-2</v>
      </c>
      <c r="W59" s="91">
        <f t="shared" si="15"/>
        <v>2.8645959048243963E-2</v>
      </c>
      <c r="X59" s="158"/>
      <c r="Y59" s="158"/>
      <c r="Z59" s="91"/>
      <c r="AA59" s="91"/>
      <c r="AF59" s="162"/>
    </row>
    <row r="61" spans="1:33" ht="15.75" x14ac:dyDescent="0.25">
      <c r="A61" s="40" t="s">
        <v>94</v>
      </c>
      <c r="B61" s="41" t="s">
        <v>282</v>
      </c>
      <c r="C61" s="41">
        <v>2000</v>
      </c>
      <c r="D61" s="41">
        <v>2001</v>
      </c>
      <c r="E61" s="41">
        <v>2002</v>
      </c>
      <c r="F61" s="41">
        <v>2003</v>
      </c>
      <c r="G61" s="41">
        <v>2004</v>
      </c>
      <c r="H61" s="41">
        <v>2005</v>
      </c>
      <c r="I61" s="41">
        <v>2006</v>
      </c>
      <c r="J61" s="41">
        <v>2007</v>
      </c>
      <c r="K61" s="41">
        <v>2008</v>
      </c>
      <c r="L61" s="41">
        <v>2009</v>
      </c>
      <c r="M61" s="41">
        <v>2010</v>
      </c>
      <c r="N61" s="41">
        <v>2011</v>
      </c>
      <c r="O61" s="41">
        <v>2012</v>
      </c>
      <c r="P61" s="41">
        <v>2013</v>
      </c>
      <c r="Q61" s="41">
        <v>2014</v>
      </c>
      <c r="R61" s="41">
        <v>2015</v>
      </c>
      <c r="S61" s="41">
        <v>2016</v>
      </c>
      <c r="T61" s="41">
        <v>2017</v>
      </c>
      <c r="U61" s="41">
        <v>2018</v>
      </c>
      <c r="V61" s="41">
        <v>2019</v>
      </c>
      <c r="W61" s="41">
        <v>2020</v>
      </c>
      <c r="X61" s="42" t="s">
        <v>89</v>
      </c>
    </row>
    <row r="62" spans="1:33" x14ac:dyDescent="0.25">
      <c r="A62" s="43" t="s">
        <v>49</v>
      </c>
      <c r="B62" s="26">
        <f t="shared" ref="B62:W62" si="16">B4/$Y$4</f>
        <v>0.48765083404931003</v>
      </c>
      <c r="C62" s="26">
        <f t="shared" si="16"/>
        <v>6.9110166724092453E-2</v>
      </c>
      <c r="D62" s="26">
        <f t="shared" si="16"/>
        <v>7.4211768864507234E-3</v>
      </c>
      <c r="E62" s="26">
        <f t="shared" si="16"/>
        <v>1.1711694167648157E-2</v>
      </c>
      <c r="F62" s="26">
        <f t="shared" si="16"/>
        <v>8.3499488440757757E-3</v>
      </c>
      <c r="G62" s="26">
        <f t="shared" si="16"/>
        <v>1.737058760380842E-2</v>
      </c>
      <c r="H62" s="26">
        <f t="shared" si="16"/>
        <v>1.8839215731488945E-2</v>
      </c>
      <c r="I62" s="26">
        <f t="shared" si="16"/>
        <v>1.2361011993749513E-2</v>
      </c>
      <c r="J62" s="26">
        <f t="shared" si="16"/>
        <v>1.8449807823436176E-2</v>
      </c>
      <c r="K62" s="26">
        <f t="shared" si="16"/>
        <v>9.3313073904755985E-3</v>
      </c>
      <c r="L62" s="26">
        <f t="shared" si="16"/>
        <v>1.3896146689586358E-2</v>
      </c>
      <c r="M62" s="26">
        <f t="shared" si="16"/>
        <v>1.2451913677286652E-2</v>
      </c>
      <c r="N62" s="26">
        <f t="shared" si="16"/>
        <v>4.7861529106922969E-3</v>
      </c>
      <c r="O62" s="26">
        <f t="shared" si="16"/>
        <v>9.6674959834180743E-3</v>
      </c>
      <c r="P62" s="26">
        <f t="shared" si="16"/>
        <v>1.1553020463283633E-2</v>
      </c>
      <c r="Q62" s="26">
        <f t="shared" si="16"/>
        <v>2.5245499575756995E-2</v>
      </c>
      <c r="R62" s="26">
        <f t="shared" si="16"/>
        <v>4.551889500110342E-2</v>
      </c>
      <c r="S62" s="26">
        <f t="shared" si="16"/>
        <v>5.6846735191866178E-2</v>
      </c>
      <c r="T62" s="26">
        <f t="shared" si="16"/>
        <v>5.7200007395867843E-2</v>
      </c>
      <c r="U62" s="26">
        <f t="shared" si="16"/>
        <v>3.6351252822750375E-2</v>
      </c>
      <c r="V62" s="26">
        <f t="shared" si="16"/>
        <v>3.6736583161085308E-2</v>
      </c>
      <c r="W62" s="26">
        <f t="shared" si="16"/>
        <v>2.8570406166016575E-2</v>
      </c>
      <c r="X62" s="52">
        <f>X4/Y4</f>
        <v>5.8013974675058142E-4</v>
      </c>
    </row>
    <row r="63" spans="1:33" x14ac:dyDescent="0.25">
      <c r="A63" s="43" t="s">
        <v>50</v>
      </c>
      <c r="B63" s="26">
        <f t="shared" ref="B63:W63" si="17">B13/$Y$13</f>
        <v>0.64424579235080914</v>
      </c>
      <c r="C63" s="26">
        <f t="shared" si="17"/>
        <v>4.3549079479089259E-2</v>
      </c>
      <c r="D63" s="26">
        <f t="shared" si="17"/>
        <v>5.6138986038763378E-3</v>
      </c>
      <c r="E63" s="26">
        <f t="shared" si="17"/>
        <v>8.9477111884212063E-3</v>
      </c>
      <c r="F63" s="26">
        <f t="shared" si="17"/>
        <v>7.4571943859989493E-3</v>
      </c>
      <c r="G63" s="26">
        <f t="shared" si="17"/>
        <v>9.3161995902572969E-3</v>
      </c>
      <c r="H63" s="26">
        <f t="shared" si="17"/>
        <v>1.6292890564408812E-2</v>
      </c>
      <c r="I63" s="26">
        <f t="shared" si="17"/>
        <v>1.1138834067179644E-2</v>
      </c>
      <c r="J63" s="26">
        <f t="shared" si="17"/>
        <v>8.9866432345836831E-3</v>
      </c>
      <c r="K63" s="26">
        <f t="shared" si="17"/>
        <v>1.0959712503914556E-2</v>
      </c>
      <c r="L63" s="26">
        <f t="shared" si="17"/>
        <v>1.2366218048828308E-2</v>
      </c>
      <c r="M63" s="26">
        <f t="shared" si="17"/>
        <v>1.451960416354329E-2</v>
      </c>
      <c r="N63" s="26">
        <f t="shared" si="17"/>
        <v>8.4865030450665818E-3</v>
      </c>
      <c r="O63" s="26">
        <f t="shared" si="17"/>
        <v>1.1007523788675496E-2</v>
      </c>
      <c r="P63" s="26">
        <f t="shared" si="17"/>
        <v>1.1329225433281239E-2</v>
      </c>
      <c r="Q63" s="26">
        <f t="shared" si="17"/>
        <v>1.8644010492527958E-2</v>
      </c>
      <c r="R63" s="26">
        <f t="shared" si="17"/>
        <v>2.4176288403133839E-2</v>
      </c>
      <c r="S63" s="26">
        <f t="shared" si="17"/>
        <v>2.7338151117127767E-2</v>
      </c>
      <c r="T63" s="26">
        <f t="shared" si="17"/>
        <v>3.0244052703062237E-2</v>
      </c>
      <c r="U63" s="26">
        <f t="shared" si="17"/>
        <v>2.638260844026272E-2</v>
      </c>
      <c r="V63" s="26">
        <f t="shared" si="17"/>
        <v>2.7756329104197543E-2</v>
      </c>
      <c r="W63" s="26">
        <f t="shared" si="17"/>
        <v>1.6497283806761822E-2</v>
      </c>
      <c r="X63" s="52">
        <f>X13/Y13</f>
        <v>4.7442454849925542E-3</v>
      </c>
    </row>
    <row r="64" spans="1:33" x14ac:dyDescent="0.25">
      <c r="A64" s="43" t="s">
        <v>60</v>
      </c>
      <c r="B64" s="26">
        <f t="shared" ref="B64:W64" si="18">B17/$Y$17</f>
        <v>0.70665117361807528</v>
      </c>
      <c r="C64" s="26">
        <f t="shared" si="18"/>
        <v>7.0199422252038388E-2</v>
      </c>
      <c r="D64" s="26">
        <f t="shared" si="18"/>
        <v>3.8509327751645003E-3</v>
      </c>
      <c r="E64" s="26">
        <f t="shared" si="18"/>
        <v>4.7365117656476691E-3</v>
      </c>
      <c r="F64" s="26">
        <f t="shared" si="18"/>
        <v>2.9657466768687676E-3</v>
      </c>
      <c r="G64" s="26">
        <f t="shared" si="18"/>
        <v>8.4183044541205065E-3</v>
      </c>
      <c r="H64" s="26">
        <f t="shared" si="18"/>
        <v>1.0260772367106675E-2</v>
      </c>
      <c r="I64" s="26">
        <f t="shared" si="18"/>
        <v>4.9429766101458522E-3</v>
      </c>
      <c r="J64" s="26">
        <f t="shared" si="18"/>
        <v>4.4047143133570587E-3</v>
      </c>
      <c r="K64" s="26">
        <f t="shared" si="18"/>
        <v>5.837199228752637E-3</v>
      </c>
      <c r="L64" s="26">
        <f t="shared" si="18"/>
        <v>7.5390117386363326E-3</v>
      </c>
      <c r="M64" s="26">
        <f t="shared" si="18"/>
        <v>1.1824286827012521E-2</v>
      </c>
      <c r="N64" s="26">
        <f t="shared" si="18"/>
        <v>5.350602254611818E-3</v>
      </c>
      <c r="O64" s="26">
        <f t="shared" si="18"/>
        <v>6.4157329747537312E-3</v>
      </c>
      <c r="P64" s="26">
        <f t="shared" si="18"/>
        <v>5.5215103561469482E-3</v>
      </c>
      <c r="Q64" s="26">
        <f t="shared" si="18"/>
        <v>1.3991283686821713E-2</v>
      </c>
      <c r="R64" s="26">
        <f t="shared" si="18"/>
        <v>2.5029786138960078E-2</v>
      </c>
      <c r="S64" s="26">
        <f t="shared" si="18"/>
        <v>2.7426035590138807E-2</v>
      </c>
      <c r="T64" s="26">
        <f t="shared" si="18"/>
        <v>2.2756119050261713E-2</v>
      </c>
      <c r="U64" s="26">
        <f t="shared" si="18"/>
        <v>1.9409856289860146E-2</v>
      </c>
      <c r="V64" s="26">
        <f t="shared" si="18"/>
        <v>1.5296078641300241E-2</v>
      </c>
      <c r="W64" s="26">
        <f t="shared" si="18"/>
        <v>7.7784795268792291E-3</v>
      </c>
      <c r="X64" s="52">
        <f>X17/Y17</f>
        <v>9.3934628633393288E-3</v>
      </c>
    </row>
    <row r="65" spans="1:45" x14ac:dyDescent="0.25">
      <c r="A65" s="43" t="s">
        <v>51</v>
      </c>
      <c r="B65" s="26">
        <f t="shared" ref="B65:W65" si="19">B21/$Y$21</f>
        <v>0.85004955384349568</v>
      </c>
      <c r="C65" s="26">
        <f t="shared" si="19"/>
        <v>3.6307967897017394E-2</v>
      </c>
      <c r="D65" s="26">
        <f t="shared" si="19"/>
        <v>2.2726862480992893E-3</v>
      </c>
      <c r="E65" s="26">
        <f t="shared" si="19"/>
        <v>3.4498586447603997E-3</v>
      </c>
      <c r="F65" s="26">
        <f t="shared" si="19"/>
        <v>1.9524987944620025E-3</v>
      </c>
      <c r="G65" s="26">
        <f t="shared" si="19"/>
        <v>2.61651170166953E-3</v>
      </c>
      <c r="H65" s="26">
        <f t="shared" si="19"/>
        <v>4.558265950707463E-3</v>
      </c>
      <c r="I65" s="26">
        <f t="shared" si="19"/>
        <v>4.3326304968019924E-3</v>
      </c>
      <c r="J65" s="26">
        <f t="shared" si="19"/>
        <v>2.5447381382367423E-3</v>
      </c>
      <c r="K65" s="26">
        <f t="shared" si="19"/>
        <v>3.6445498078445477E-3</v>
      </c>
      <c r="L65" s="26">
        <f t="shared" si="19"/>
        <v>1.8390363947838237E-3</v>
      </c>
      <c r="M65" s="26">
        <f t="shared" si="19"/>
        <v>3.7094468622059316E-3</v>
      </c>
      <c r="N65" s="26">
        <f t="shared" si="19"/>
        <v>2.5933034835535387E-3</v>
      </c>
      <c r="O65" s="26">
        <f t="shared" si="19"/>
        <v>3.3501492632250305E-3</v>
      </c>
      <c r="P65" s="26">
        <f t="shared" si="19"/>
        <v>4.7190043502515497E-3</v>
      </c>
      <c r="Q65" s="26">
        <f t="shared" si="19"/>
        <v>5.6984771111097711E-3</v>
      </c>
      <c r="R65" s="26">
        <f t="shared" si="19"/>
        <v>1.1862407929990257E-2</v>
      </c>
      <c r="S65" s="26">
        <f t="shared" si="19"/>
        <v>1.1611845130700946E-2</v>
      </c>
      <c r="T65" s="26">
        <f t="shared" si="19"/>
        <v>1.2204514256292646E-2</v>
      </c>
      <c r="U65" s="26">
        <f t="shared" si="19"/>
        <v>1.1238364731760269E-2</v>
      </c>
      <c r="V65" s="26">
        <f t="shared" si="19"/>
        <v>9.7779661177206743E-3</v>
      </c>
      <c r="W65" s="26">
        <f t="shared" si="19"/>
        <v>9.6593463362389421E-3</v>
      </c>
      <c r="X65" s="53">
        <f>X21/Y21</f>
        <v>6.8765090714048086E-6</v>
      </c>
    </row>
    <row r="66" spans="1:45" x14ac:dyDescent="0.25">
      <c r="A66" s="43" t="s">
        <v>52</v>
      </c>
      <c r="B66" s="26">
        <f t="shared" ref="B66:W66" si="20">B26/$Y$26</f>
        <v>0.25727177606327772</v>
      </c>
      <c r="C66" s="26">
        <f t="shared" si="20"/>
        <v>2.4678425264194143E-2</v>
      </c>
      <c r="D66" s="26">
        <f t="shared" si="20"/>
        <v>5.3931151606840064E-3</v>
      </c>
      <c r="E66" s="26">
        <f t="shared" si="20"/>
        <v>4.4365680852349503E-3</v>
      </c>
      <c r="F66" s="26">
        <f t="shared" si="20"/>
        <v>6.0423113471844295E-3</v>
      </c>
      <c r="G66" s="26">
        <f t="shared" si="20"/>
        <v>9.4573393459615497E-3</v>
      </c>
      <c r="H66" s="26">
        <f t="shared" si="20"/>
        <v>1.4757409305188832E-2</v>
      </c>
      <c r="I66" s="26">
        <f t="shared" si="20"/>
        <v>1.0811673005727787E-2</v>
      </c>
      <c r="J66" s="26">
        <f t="shared" si="20"/>
        <v>2.2538140989493721E-2</v>
      </c>
      <c r="K66" s="26">
        <f t="shared" si="20"/>
        <v>1.1371085873381712E-2</v>
      </c>
      <c r="L66" s="26">
        <f t="shared" si="20"/>
        <v>1.6415016500640922E-2</v>
      </c>
      <c r="M66" s="26">
        <f t="shared" si="20"/>
        <v>1.7560100390961099E-2</v>
      </c>
      <c r="N66" s="26">
        <f t="shared" si="20"/>
        <v>1.038175687769987E-2</v>
      </c>
      <c r="O66" s="26">
        <f t="shared" si="20"/>
        <v>1.7888898158071976E-2</v>
      </c>
      <c r="P66" s="26">
        <f t="shared" si="20"/>
        <v>2.0265505827883341E-2</v>
      </c>
      <c r="Q66" s="26">
        <f t="shared" si="20"/>
        <v>3.6874522796767499E-2</v>
      </c>
      <c r="R66" s="26">
        <f t="shared" si="20"/>
        <v>9.7532491816548134E-2</v>
      </c>
      <c r="S66" s="26">
        <f t="shared" si="20"/>
        <v>0.13035559331728325</v>
      </c>
      <c r="T66" s="26">
        <f t="shared" si="20"/>
        <v>0.10846167414330933</v>
      </c>
      <c r="U66" s="26">
        <f t="shared" si="20"/>
        <v>6.4119234204557715E-2</v>
      </c>
      <c r="V66" s="26">
        <f t="shared" si="20"/>
        <v>6.5676456962680069E-2</v>
      </c>
      <c r="W66" s="26">
        <f t="shared" si="20"/>
        <v>4.7207514529444487E-2</v>
      </c>
      <c r="X66" s="52">
        <f>X26/Y26</f>
        <v>5.0339003382327626E-4</v>
      </c>
    </row>
    <row r="67" spans="1:45" x14ac:dyDescent="0.25">
      <c r="A67" s="43" t="s">
        <v>53</v>
      </c>
      <c r="B67" s="26">
        <f t="shared" ref="B67:W67" si="21">B32/$Y$32</f>
        <v>0.31876756575359699</v>
      </c>
      <c r="C67" s="26">
        <f t="shared" si="21"/>
        <v>4.7694953647384526E-2</v>
      </c>
      <c r="D67" s="26">
        <f t="shared" si="21"/>
        <v>2.0554553462813034E-3</v>
      </c>
      <c r="E67" s="26">
        <f t="shared" si="21"/>
        <v>7.7603926339192054E-4</v>
      </c>
      <c r="F67" s="26">
        <f t="shared" si="21"/>
        <v>1.054574436847183E-2</v>
      </c>
      <c r="G67" s="26">
        <f t="shared" si="21"/>
        <v>4.1822224086580807E-3</v>
      </c>
      <c r="H67" s="26">
        <f t="shared" si="21"/>
        <v>1.0415705356768317E-2</v>
      </c>
      <c r="I67" s="26">
        <f t="shared" si="21"/>
        <v>2.0386761189647214E-3</v>
      </c>
      <c r="J67" s="26">
        <f t="shared" si="21"/>
        <v>4.2828977725575734E-3</v>
      </c>
      <c r="K67" s="26">
        <f t="shared" si="21"/>
        <v>1.7324552204370984E-3</v>
      </c>
      <c r="L67" s="26">
        <f t="shared" si="21"/>
        <v>4.8659759218088001E-3</v>
      </c>
      <c r="M67" s="26">
        <f t="shared" si="21"/>
        <v>9.1992113763161177E-3</v>
      </c>
      <c r="N67" s="26">
        <f t="shared" si="21"/>
        <v>6.2376777549393841E-3</v>
      </c>
      <c r="O67" s="26">
        <f t="shared" si="21"/>
        <v>6.3089894710348562E-3</v>
      </c>
      <c r="P67" s="26">
        <f t="shared" si="21"/>
        <v>1.4337849742019376E-2</v>
      </c>
      <c r="Q67" s="26">
        <f t="shared" si="21"/>
        <v>1.3331096103024452E-2</v>
      </c>
      <c r="R67" s="26">
        <f t="shared" si="21"/>
        <v>5.570283988422333E-2</v>
      </c>
      <c r="S67" s="26">
        <f t="shared" si="21"/>
        <v>6.5917194513192653E-2</v>
      </c>
      <c r="T67" s="26">
        <f t="shared" si="21"/>
        <v>0.10146398758337177</v>
      </c>
      <c r="U67" s="26">
        <f t="shared" si="21"/>
        <v>0.11568438273417506</v>
      </c>
      <c r="V67" s="26">
        <f t="shared" si="21"/>
        <v>0.11706866898779308</v>
      </c>
      <c r="W67" s="26">
        <f t="shared" si="21"/>
        <v>8.4110071731196764E-2</v>
      </c>
      <c r="X67" s="52">
        <f>X32/Y32</f>
        <v>3.2803389403917942E-3</v>
      </c>
    </row>
    <row r="68" spans="1:45" x14ac:dyDescent="0.25">
      <c r="A68" s="43" t="s">
        <v>54</v>
      </c>
      <c r="B68" s="26">
        <f t="shared" ref="B68:W68" si="22">B44/$Y$44</f>
        <v>0.2260284383766081</v>
      </c>
      <c r="C68" s="26">
        <f t="shared" si="22"/>
        <v>2.7374355714621306E-2</v>
      </c>
      <c r="D68" s="26">
        <f t="shared" si="22"/>
        <v>9.474852718320043E-3</v>
      </c>
      <c r="E68" s="26">
        <f t="shared" si="22"/>
        <v>3.399339477938839E-3</v>
      </c>
      <c r="F68" s="26">
        <f t="shared" si="22"/>
        <v>2.7314475750917773E-3</v>
      </c>
      <c r="G68" s="26">
        <f t="shared" si="22"/>
        <v>2.167194070962363E-3</v>
      </c>
      <c r="H68" s="26">
        <f t="shared" si="22"/>
        <v>8.0239151362729785E-3</v>
      </c>
      <c r="I68" s="26">
        <f t="shared" si="22"/>
        <v>3.1851534539223676E-3</v>
      </c>
      <c r="J68" s="26">
        <f t="shared" si="22"/>
        <v>2.6651189999124827E-2</v>
      </c>
      <c r="K68" s="26">
        <f t="shared" si="22"/>
        <v>4.7927001718094334E-3</v>
      </c>
      <c r="L68" s="26">
        <f t="shared" si="22"/>
        <v>1.5430606031294189E-2</v>
      </c>
      <c r="M68" s="26">
        <f t="shared" si="22"/>
        <v>2.8049156844049537E-2</v>
      </c>
      <c r="N68" s="26">
        <f t="shared" si="22"/>
        <v>1.4477132763091833E-2</v>
      </c>
      <c r="O68" s="26">
        <f t="shared" si="22"/>
        <v>1.0200321509343576E-2</v>
      </c>
      <c r="P68" s="26">
        <f t="shared" si="22"/>
        <v>1.189077894620476E-2</v>
      </c>
      <c r="Q68" s="26">
        <f t="shared" si="22"/>
        <v>2.0739195121164802E-2</v>
      </c>
      <c r="R68" s="26">
        <f t="shared" si="22"/>
        <v>9.2961340574202786E-2</v>
      </c>
      <c r="S68" s="26">
        <f t="shared" si="22"/>
        <v>0.12804409007789</v>
      </c>
      <c r="T68" s="26">
        <f t="shared" si="22"/>
        <v>7.4030059741779175E-2</v>
      </c>
      <c r="U68" s="26">
        <f t="shared" si="22"/>
        <v>0.10718052887826401</v>
      </c>
      <c r="V68" s="26">
        <f t="shared" si="22"/>
        <v>9.1326156949990994E-2</v>
      </c>
      <c r="W68" s="26">
        <f t="shared" si="22"/>
        <v>9.0460200551816916E-2</v>
      </c>
      <c r="X68" s="54">
        <f>X44/Y44</f>
        <v>1.3818453162353006E-3</v>
      </c>
    </row>
    <row r="69" spans="1:45" x14ac:dyDescent="0.25">
      <c r="A69" s="43" t="s">
        <v>55</v>
      </c>
      <c r="B69" s="26">
        <f t="shared" ref="B69:W69" si="23">B47/$Y$47</f>
        <v>0.65118749083581118</v>
      </c>
      <c r="C69" s="26">
        <f t="shared" si="23"/>
        <v>3.4068222918178369E-2</v>
      </c>
      <c r="D69" s="26">
        <f t="shared" si="23"/>
        <v>2.4494230790921162E-3</v>
      </c>
      <c r="E69" s="26">
        <f t="shared" si="23"/>
        <v>2.6543249329839353E-3</v>
      </c>
      <c r="F69" s="26">
        <f t="shared" si="23"/>
        <v>2.3215943995999718E-3</v>
      </c>
      <c r="G69" s="26">
        <f t="shared" si="23"/>
        <v>1.2856181456570208E-2</v>
      </c>
      <c r="H69" s="26">
        <f t="shared" si="23"/>
        <v>8.9931235689767342E-3</v>
      </c>
      <c r="I69" s="26">
        <f t="shared" si="23"/>
        <v>5.9252352611652718E-3</v>
      </c>
      <c r="J69" s="26">
        <f t="shared" si="23"/>
        <v>8.1058421466194963E-3</v>
      </c>
      <c r="K69" s="26">
        <f t="shared" si="23"/>
        <v>7.7956696154988523E-3</v>
      </c>
      <c r="L69" s="26">
        <f t="shared" si="23"/>
        <v>1.2927615130404054E-2</v>
      </c>
      <c r="M69" s="26">
        <f t="shared" si="23"/>
        <v>1.3170113654734739E-2</v>
      </c>
      <c r="N69" s="26">
        <f t="shared" si="23"/>
        <v>1.1713242675228682E-2</v>
      </c>
      <c r="O69" s="26">
        <f t="shared" si="23"/>
        <v>8.4084953436523689E-3</v>
      </c>
      <c r="P69" s="26">
        <f t="shared" si="23"/>
        <v>8.8201788849579504E-3</v>
      </c>
      <c r="Q69" s="26">
        <f t="shared" si="23"/>
        <v>2.262379643658758E-2</v>
      </c>
      <c r="R69" s="26">
        <f t="shared" si="23"/>
        <v>3.0344272711208698E-2</v>
      </c>
      <c r="S69" s="26">
        <f t="shared" si="23"/>
        <v>2.650001315883466E-2</v>
      </c>
      <c r="T69" s="26">
        <f t="shared" si="23"/>
        <v>3.7694421782006993E-2</v>
      </c>
      <c r="U69" s="26">
        <f t="shared" si="23"/>
        <v>3.3487354359897893E-2</v>
      </c>
      <c r="V69" s="26">
        <f t="shared" si="23"/>
        <v>2.9077264917418924E-2</v>
      </c>
      <c r="W69" s="26">
        <f t="shared" si="23"/>
        <v>2.641354081682527E-2</v>
      </c>
      <c r="X69" s="52">
        <f>X47/Y47</f>
        <v>2.4625819137457186E-3</v>
      </c>
    </row>
    <row r="70" spans="1:45" x14ac:dyDescent="0.25">
      <c r="A70" s="43" t="s">
        <v>56</v>
      </c>
      <c r="B70" s="26">
        <f t="shared" ref="B70:W70" si="24">B51/$Y$51</f>
        <v>0.52324060414665774</v>
      </c>
      <c r="C70" s="26">
        <f t="shared" si="24"/>
        <v>7.2217501653736693E-2</v>
      </c>
      <c r="D70" s="26">
        <f t="shared" si="24"/>
        <v>9.3991746539608158E-3</v>
      </c>
      <c r="E70" s="26">
        <f t="shared" si="24"/>
        <v>9.2793306449157741E-3</v>
      </c>
      <c r="F70" s="26">
        <f t="shared" si="24"/>
        <v>8.1880028673993934E-3</v>
      </c>
      <c r="G70" s="26">
        <f t="shared" si="24"/>
        <v>1.7535697184911304E-2</v>
      </c>
      <c r="H70" s="26">
        <f t="shared" si="24"/>
        <v>2.1703805393257211E-2</v>
      </c>
      <c r="I70" s="26">
        <f t="shared" si="24"/>
        <v>6.4137303039277348E-3</v>
      </c>
      <c r="J70" s="26">
        <f t="shared" si="24"/>
        <v>1.3669689983199711E-2</v>
      </c>
      <c r="K70" s="26">
        <f t="shared" si="24"/>
        <v>8.6105014350835833E-3</v>
      </c>
      <c r="L70" s="26">
        <f t="shared" si="24"/>
        <v>1.244246518849831E-2</v>
      </c>
      <c r="M70" s="26">
        <f t="shared" si="24"/>
        <v>1.8100873781839642E-2</v>
      </c>
      <c r="N70" s="26">
        <f t="shared" si="24"/>
        <v>7.0648458496054634E-3</v>
      </c>
      <c r="O70" s="26">
        <f t="shared" si="24"/>
        <v>9.4657392825412585E-3</v>
      </c>
      <c r="P70" s="26">
        <f t="shared" si="24"/>
        <v>1.3213147967218664E-2</v>
      </c>
      <c r="Q70" s="26">
        <f t="shared" si="24"/>
        <v>2.5270340960357403E-2</v>
      </c>
      <c r="R70" s="26">
        <f t="shared" si="24"/>
        <v>4.8795332449495368E-2</v>
      </c>
      <c r="S70" s="26">
        <f t="shared" si="24"/>
        <v>4.1429354309264019E-2</v>
      </c>
      <c r="T70" s="26">
        <f t="shared" si="24"/>
        <v>4.8805573161584653E-2</v>
      </c>
      <c r="U70" s="26">
        <f t="shared" si="24"/>
        <v>2.9646169558514627E-2</v>
      </c>
      <c r="V70" s="26">
        <f t="shared" si="24"/>
        <v>3.1344882273327407E-2</v>
      </c>
      <c r="W70" s="26">
        <f t="shared" si="24"/>
        <v>1.68216150986845E-2</v>
      </c>
      <c r="X70" s="52">
        <f>X51/Y51</f>
        <v>7.3416218520189524E-3</v>
      </c>
    </row>
    <row r="71" spans="1:45" x14ac:dyDescent="0.25">
      <c r="A71" s="43" t="s">
        <v>57</v>
      </c>
      <c r="B71" s="26">
        <f t="shared" ref="B71:W71" si="25">B53/$Y$53</f>
        <v>0.64018912529550809</v>
      </c>
      <c r="C71" s="26">
        <f t="shared" si="25"/>
        <v>3.9911441329881038E-2</v>
      </c>
      <c r="D71" s="26">
        <f t="shared" si="25"/>
        <v>4.8031821081466466E-3</v>
      </c>
      <c r="E71" s="26">
        <f t="shared" si="25"/>
        <v>3.8500506585612965E-3</v>
      </c>
      <c r="F71" s="26">
        <f t="shared" si="25"/>
        <v>1.8011932905549922E-3</v>
      </c>
      <c r="G71" s="26">
        <f t="shared" si="25"/>
        <v>3.617396525197943E-3</v>
      </c>
      <c r="H71" s="26">
        <f t="shared" si="25"/>
        <v>1.2225599459642012E-2</v>
      </c>
      <c r="I71" s="26">
        <f t="shared" si="25"/>
        <v>2.1276595744680847E-2</v>
      </c>
      <c r="J71" s="26">
        <f t="shared" si="25"/>
        <v>7.857705730046155E-3</v>
      </c>
      <c r="K71" s="26">
        <f t="shared" si="25"/>
        <v>1.9400352733686062E-2</v>
      </c>
      <c r="L71" s="26">
        <f t="shared" si="25"/>
        <v>2.5261735900033763E-2</v>
      </c>
      <c r="M71" s="26">
        <f t="shared" si="25"/>
        <v>1.7111336260272426E-2</v>
      </c>
      <c r="N71" s="26">
        <f t="shared" si="25"/>
        <v>5.9814627190513704E-3</v>
      </c>
      <c r="O71" s="26">
        <f t="shared" si="25"/>
        <v>5.8763931104356621E-3</v>
      </c>
      <c r="P71" s="26">
        <f t="shared" si="25"/>
        <v>2.3640661938534274E-3</v>
      </c>
      <c r="Q71" s="26">
        <f t="shared" si="25"/>
        <v>8.7507974032796712E-3</v>
      </c>
      <c r="R71" s="26">
        <f t="shared" si="25"/>
        <v>1.2886036999512176E-2</v>
      </c>
      <c r="S71" s="26">
        <f t="shared" si="25"/>
        <v>3.3247026154827566E-2</v>
      </c>
      <c r="T71" s="26">
        <f t="shared" si="25"/>
        <v>1.5610341851476603E-2</v>
      </c>
      <c r="U71" s="26">
        <f t="shared" si="25"/>
        <v>3.2008705767571005E-2</v>
      </c>
      <c r="V71" s="26">
        <f t="shared" si="25"/>
        <v>4.5517655446733453E-2</v>
      </c>
      <c r="W71" s="26">
        <f t="shared" si="25"/>
        <v>3.8230327592029704E-2</v>
      </c>
      <c r="X71" s="52">
        <f>X53/Y53</f>
        <v>2.221471725017824E-3</v>
      </c>
    </row>
    <row r="72" spans="1:45" x14ac:dyDescent="0.25">
      <c r="A72" s="43" t="s">
        <v>86</v>
      </c>
      <c r="B72" s="26">
        <f t="shared" ref="B72:W72" si="26">B55/$Y$55</f>
        <v>0.9343003412969284</v>
      </c>
      <c r="C72" s="26">
        <f t="shared" si="26"/>
        <v>5.6313993174061439E-2</v>
      </c>
      <c r="D72" s="26">
        <f t="shared" si="26"/>
        <v>0</v>
      </c>
      <c r="E72" s="26">
        <f t="shared" si="26"/>
        <v>0</v>
      </c>
      <c r="F72" s="26">
        <f t="shared" si="26"/>
        <v>0</v>
      </c>
      <c r="G72" s="26">
        <f t="shared" si="26"/>
        <v>0</v>
      </c>
      <c r="H72" s="26">
        <f t="shared" si="26"/>
        <v>0</v>
      </c>
      <c r="I72" s="26">
        <f t="shared" si="26"/>
        <v>0</v>
      </c>
      <c r="J72" s="26">
        <f t="shared" si="26"/>
        <v>0</v>
      </c>
      <c r="K72" s="26">
        <f t="shared" si="26"/>
        <v>0</v>
      </c>
      <c r="L72" s="26">
        <f t="shared" si="26"/>
        <v>0</v>
      </c>
      <c r="M72" s="26">
        <f t="shared" si="26"/>
        <v>0</v>
      </c>
      <c r="N72" s="26">
        <f t="shared" si="26"/>
        <v>0</v>
      </c>
      <c r="O72" s="26">
        <f t="shared" si="26"/>
        <v>0</v>
      </c>
      <c r="P72" s="26">
        <f t="shared" si="26"/>
        <v>0</v>
      </c>
      <c r="Q72" s="26">
        <f t="shared" si="26"/>
        <v>0</v>
      </c>
      <c r="R72" s="26">
        <f t="shared" si="26"/>
        <v>0</v>
      </c>
      <c r="S72" s="26">
        <f t="shared" si="26"/>
        <v>0</v>
      </c>
      <c r="T72" s="26">
        <f t="shared" si="26"/>
        <v>0</v>
      </c>
      <c r="U72" s="26">
        <f t="shared" si="26"/>
        <v>0</v>
      </c>
      <c r="V72" s="26">
        <f t="shared" si="26"/>
        <v>7.6791808873720143E-3</v>
      </c>
      <c r="W72" s="26">
        <f t="shared" si="26"/>
        <v>0</v>
      </c>
      <c r="X72" s="52">
        <f>X55/Y55</f>
        <v>1.7064846416382255E-3</v>
      </c>
    </row>
    <row r="73" spans="1:45" x14ac:dyDescent="0.25">
      <c r="A73" s="43" t="s">
        <v>59</v>
      </c>
      <c r="B73" s="26">
        <f t="shared" ref="B73:W73" si="27">B57/$Y$57</f>
        <v>0.49398550874610148</v>
      </c>
      <c r="C73" s="26">
        <f t="shared" si="27"/>
        <v>5.2884829138439789E-2</v>
      </c>
      <c r="D73" s="26">
        <f t="shared" si="27"/>
        <v>6.2798042036353889E-3</v>
      </c>
      <c r="E73" s="26">
        <f t="shared" si="27"/>
        <v>7.7768088660468762E-3</v>
      </c>
      <c r="F73" s="26">
        <f t="shared" si="27"/>
        <v>6.6200868272588993E-3</v>
      </c>
      <c r="G73" s="26">
        <f t="shared" si="27"/>
        <v>1.2470439697497731E-2</v>
      </c>
      <c r="H73" s="26">
        <f t="shared" si="27"/>
        <v>1.6008481118113847E-2</v>
      </c>
      <c r="I73" s="26">
        <f t="shared" si="27"/>
        <v>9.540825420125177E-3</v>
      </c>
      <c r="J73" s="26">
        <f t="shared" si="27"/>
        <v>1.5175711267187249E-2</v>
      </c>
      <c r="K73" s="26">
        <f t="shared" si="27"/>
        <v>9.1953327079167726E-3</v>
      </c>
      <c r="L73" s="26">
        <f t="shared" si="27"/>
        <v>1.2841385648800699E-2</v>
      </c>
      <c r="M73" s="26">
        <f t="shared" si="27"/>
        <v>1.4474264479129636E-2</v>
      </c>
      <c r="N73" s="26">
        <f t="shared" si="27"/>
        <v>7.1006711644352391E-3</v>
      </c>
      <c r="O73" s="26">
        <f t="shared" si="27"/>
        <v>1.1164849159183348E-2</v>
      </c>
      <c r="P73" s="26">
        <f t="shared" si="27"/>
        <v>1.2921246216121687E-2</v>
      </c>
      <c r="Q73" s="26">
        <f t="shared" si="27"/>
        <v>2.5014500211955885E-2</v>
      </c>
      <c r="R73" s="26">
        <f t="shared" si="27"/>
        <v>5.2849244027472632E-2</v>
      </c>
      <c r="S73" s="26">
        <f t="shared" si="27"/>
        <v>6.4515291352581244E-2</v>
      </c>
      <c r="T73" s="26">
        <f t="shared" si="27"/>
        <v>5.9750675638315674E-2</v>
      </c>
      <c r="U73" s="26">
        <f t="shared" si="27"/>
        <v>3.9195455237668091E-2</v>
      </c>
      <c r="V73" s="26">
        <f t="shared" si="27"/>
        <v>3.9437919992602925E-2</v>
      </c>
      <c r="W73" s="26">
        <f t="shared" si="27"/>
        <v>2.7763758932702037E-2</v>
      </c>
      <c r="X73" s="52">
        <f>X57/Y57</f>
        <v>3.0329099467077967E-3</v>
      </c>
    </row>
    <row r="77" spans="1:45" ht="18.75" x14ac:dyDescent="0.3">
      <c r="A77" s="79" t="s">
        <v>93</v>
      </c>
      <c r="D77" s="33"/>
      <c r="E77" s="34"/>
      <c r="Z77" s="35"/>
    </row>
    <row r="78" spans="1:45" ht="51" x14ac:dyDescent="0.25">
      <c r="A78" s="76" t="s">
        <v>2</v>
      </c>
      <c r="B78" s="77" t="s">
        <v>281</v>
      </c>
      <c r="C78" s="77">
        <v>2000</v>
      </c>
      <c r="D78" s="77">
        <v>2001</v>
      </c>
      <c r="E78" s="77">
        <v>2002</v>
      </c>
      <c r="F78" s="77">
        <v>2003</v>
      </c>
      <c r="G78" s="77">
        <v>2004</v>
      </c>
      <c r="H78" s="77">
        <v>2005</v>
      </c>
      <c r="I78" s="77">
        <v>2006</v>
      </c>
      <c r="J78" s="77">
        <v>2007</v>
      </c>
      <c r="K78" s="77">
        <v>2008</v>
      </c>
      <c r="L78" s="77">
        <v>2009</v>
      </c>
      <c r="M78" s="77">
        <v>2010</v>
      </c>
      <c r="N78" s="77">
        <v>2011</v>
      </c>
      <c r="O78" s="77">
        <v>2012</v>
      </c>
      <c r="P78" s="77">
        <v>2013</v>
      </c>
      <c r="Q78" s="77">
        <v>2014</v>
      </c>
      <c r="R78" s="77">
        <v>2015</v>
      </c>
      <c r="S78" s="77">
        <v>2016</v>
      </c>
      <c r="T78" s="77">
        <v>2017</v>
      </c>
      <c r="U78" s="77">
        <v>2018</v>
      </c>
      <c r="V78" s="77">
        <v>2019</v>
      </c>
      <c r="W78" s="77">
        <v>2020</v>
      </c>
      <c r="X78" s="76" t="s">
        <v>280</v>
      </c>
      <c r="Y78" s="76" t="s">
        <v>90</v>
      </c>
      <c r="Z78" s="192" t="s">
        <v>91</v>
      </c>
      <c r="AA78" s="186"/>
      <c r="AB78" s="201" t="s">
        <v>255</v>
      </c>
      <c r="AC78" s="201" t="s">
        <v>256</v>
      </c>
      <c r="AD78" s="201" t="s">
        <v>252</v>
      </c>
      <c r="AE78" s="201" t="s">
        <v>253</v>
      </c>
      <c r="AF78" s="201" t="s">
        <v>103</v>
      </c>
      <c r="AG78" s="201" t="s">
        <v>254</v>
      </c>
      <c r="AQ78" s="250" t="s">
        <v>288</v>
      </c>
      <c r="AR78" t="s">
        <v>103</v>
      </c>
      <c r="AS78" t="s">
        <v>287</v>
      </c>
    </row>
    <row r="79" spans="1:45" x14ac:dyDescent="0.25">
      <c r="A79" s="60" t="s">
        <v>49</v>
      </c>
      <c r="B79" s="61">
        <v>1752.57</v>
      </c>
      <c r="C79" s="61">
        <v>500.50000000000006</v>
      </c>
      <c r="D79" s="61">
        <v>95.47</v>
      </c>
      <c r="E79" s="61">
        <v>66.839999999999989</v>
      </c>
      <c r="F79" s="61">
        <v>174.01000000000002</v>
      </c>
      <c r="G79" s="61">
        <v>169.07999999999998</v>
      </c>
      <c r="H79" s="61">
        <v>171.82999999999998</v>
      </c>
      <c r="I79" s="61">
        <v>160.76999999999998</v>
      </c>
      <c r="J79" s="61">
        <v>218.60000000000002</v>
      </c>
      <c r="K79" s="61">
        <v>340.96000000000004</v>
      </c>
      <c r="L79" s="61">
        <v>200.63000000000002</v>
      </c>
      <c r="M79" s="61">
        <v>226.31999999999996</v>
      </c>
      <c r="N79" s="61">
        <v>246.09</v>
      </c>
      <c r="O79" s="61">
        <v>182.61</v>
      </c>
      <c r="P79" s="61">
        <v>529.83999999999992</v>
      </c>
      <c r="Q79" s="61">
        <v>823.04</v>
      </c>
      <c r="R79" s="61">
        <v>1945.53</v>
      </c>
      <c r="S79" s="61">
        <v>4722.55</v>
      </c>
      <c r="T79" s="61">
        <v>4737.3899999999994</v>
      </c>
      <c r="U79" s="61">
        <v>2262.2399999999998</v>
      </c>
      <c r="V79" s="61">
        <v>2334.8599999999997</v>
      </c>
      <c r="W79" s="61">
        <v>2926.8300000000004</v>
      </c>
      <c r="X79" s="61">
        <v>16.810000000000002</v>
      </c>
      <c r="Y79" s="61">
        <f>SUM(B79:X79)</f>
        <v>24805.37</v>
      </c>
      <c r="Z79" s="193">
        <f>Y79/$Y$129</f>
        <v>0.25011638481392195</v>
      </c>
      <c r="AA79" s="168"/>
      <c r="AB79" s="61">
        <f>SUM(B79:T79)</f>
        <v>17264.629999999997</v>
      </c>
      <c r="AC79" s="61">
        <f>SUM(U79:W79)</f>
        <v>7523.93</v>
      </c>
      <c r="AD79" s="61">
        <f>X79</f>
        <v>16.810000000000002</v>
      </c>
      <c r="AE79" s="61">
        <v>32.42</v>
      </c>
      <c r="AF79" s="61">
        <f>SUM(AB79:AE79)</f>
        <v>24837.789999999997</v>
      </c>
      <c r="AG79" s="193">
        <f>AC79/AF79</f>
        <v>0.30292268353988022</v>
      </c>
      <c r="AP79" s="60" t="s">
        <v>49</v>
      </c>
      <c r="AQ79" s="162">
        <f>AC79</f>
        <v>7523.93</v>
      </c>
      <c r="AR79" s="162">
        <v>24837.789999999997</v>
      </c>
      <c r="AS79" s="249">
        <f>AQ79/AR79</f>
        <v>0.30292268353988022</v>
      </c>
    </row>
    <row r="80" spans="1:45" x14ac:dyDescent="0.25">
      <c r="A80" s="13" t="s">
        <v>11</v>
      </c>
      <c r="B80" s="14">
        <v>438.28999999999996</v>
      </c>
      <c r="C80" s="14">
        <v>96.149999999999991</v>
      </c>
      <c r="D80" s="14">
        <v>13.88</v>
      </c>
      <c r="E80" s="14">
        <v>12.93</v>
      </c>
      <c r="F80" s="14">
        <v>27.42</v>
      </c>
      <c r="G80" s="14">
        <v>20.509999999999998</v>
      </c>
      <c r="H80" s="14">
        <v>11.48</v>
      </c>
      <c r="I80" s="14">
        <v>0.57000000000000006</v>
      </c>
      <c r="J80" s="14">
        <v>7.5600000000000005</v>
      </c>
      <c r="K80" s="14">
        <v>9.4499999999999993</v>
      </c>
      <c r="L80" s="14">
        <v>26.86</v>
      </c>
      <c r="M80" s="14">
        <v>20</v>
      </c>
      <c r="N80" s="14">
        <v>9.98</v>
      </c>
      <c r="O80" s="14">
        <v>14.260000000000002</v>
      </c>
      <c r="P80" s="14">
        <v>12.290000000000001</v>
      </c>
      <c r="Q80" s="14">
        <v>14.600000000000001</v>
      </c>
      <c r="R80" s="14">
        <v>35.950000000000003</v>
      </c>
      <c r="S80" s="14">
        <v>38.989999999999995</v>
      </c>
      <c r="T80" s="14">
        <v>46.91</v>
      </c>
      <c r="U80" s="14">
        <v>48.669999999999995</v>
      </c>
      <c r="V80" s="14">
        <v>12.98</v>
      </c>
      <c r="W80" s="14">
        <v>31.46</v>
      </c>
      <c r="X80" s="14">
        <v>1.78</v>
      </c>
      <c r="Y80" s="14">
        <f t="shared" ref="Y80:Y129" si="28">SUM(B80:X80)</f>
        <v>952.96999999999991</v>
      </c>
      <c r="Z80" s="190">
        <f t="shared" ref="Z80:Z115" si="29">Y80/$Y$129</f>
        <v>9.6089440002758743E-3</v>
      </c>
      <c r="AA80" s="91"/>
      <c r="AB80" s="14">
        <f>SUM(B80:T80)</f>
        <v>858.07999999999993</v>
      </c>
      <c r="AC80" s="14">
        <f>SUM(U80:W80)</f>
        <v>93.109999999999985</v>
      </c>
      <c r="AD80" s="14">
        <f>X80</f>
        <v>1.78</v>
      </c>
      <c r="AE80" s="14">
        <v>9.84</v>
      </c>
      <c r="AF80" s="14">
        <f t="shared" ref="AF80:AF128" si="30">SUM(AB80:AE80)</f>
        <v>962.81</v>
      </c>
      <c r="AG80" s="190">
        <f t="shared" ref="AG80:AG129" si="31">AC80/AF80</f>
        <v>9.6706515304161772E-2</v>
      </c>
      <c r="AP80" s="60" t="s">
        <v>50</v>
      </c>
      <c r="AQ80" s="162">
        <f>AC88</f>
        <v>5222.2999999999993</v>
      </c>
      <c r="AR80" s="162">
        <v>18893.049999999996</v>
      </c>
      <c r="AS80" s="249">
        <f t="shared" ref="AS80:AS84" si="32">AQ80/AR80</f>
        <v>0.27641381354519257</v>
      </c>
    </row>
    <row r="81" spans="1:45" x14ac:dyDescent="0.25">
      <c r="A81" s="13" t="s">
        <v>12</v>
      </c>
      <c r="B81" s="14">
        <v>0.22</v>
      </c>
      <c r="C81" s="14">
        <v>0.04</v>
      </c>
      <c r="D81" s="14"/>
      <c r="E81" s="14"/>
      <c r="F81" s="14"/>
      <c r="G81" s="14"/>
      <c r="H81" s="14"/>
      <c r="I81" s="14"/>
      <c r="J81" s="14">
        <v>8.7100000000000009</v>
      </c>
      <c r="K81" s="14">
        <v>3.59</v>
      </c>
      <c r="L81" s="14"/>
      <c r="M81" s="14"/>
      <c r="N81" s="14"/>
      <c r="O81" s="14"/>
      <c r="P81" s="14">
        <v>4.5199999999999996</v>
      </c>
      <c r="Q81" s="14">
        <v>38.370000000000005</v>
      </c>
      <c r="R81" s="14">
        <v>23.95</v>
      </c>
      <c r="S81" s="14">
        <v>122.55</v>
      </c>
      <c r="T81" s="14">
        <v>73.13</v>
      </c>
      <c r="U81" s="14">
        <v>123.14999999999999</v>
      </c>
      <c r="V81" s="14">
        <v>126.86</v>
      </c>
      <c r="W81" s="14">
        <v>115.47</v>
      </c>
      <c r="X81" s="14">
        <v>2.46</v>
      </c>
      <c r="Y81" s="14">
        <f t="shared" si="28"/>
        <v>643.02</v>
      </c>
      <c r="Z81" s="190">
        <f t="shared" si="29"/>
        <v>6.4836701796041774E-3</v>
      </c>
      <c r="AA81" s="91"/>
      <c r="AB81" s="14">
        <f t="shared" ref="AB81:AB128" si="33">SUM(B81:T81)</f>
        <v>275.08</v>
      </c>
      <c r="AC81" s="14">
        <f t="shared" ref="AC81:AC128" si="34">SUM(U81:W81)</f>
        <v>365.48</v>
      </c>
      <c r="AD81" s="14">
        <f t="shared" ref="AD81:AD128" si="35">X81</f>
        <v>2.46</v>
      </c>
      <c r="AE81" s="14"/>
      <c r="AF81" s="14">
        <f t="shared" si="30"/>
        <v>643.02</v>
      </c>
      <c r="AG81" s="190">
        <f t="shared" si="31"/>
        <v>0.56838045472924636</v>
      </c>
      <c r="AP81" s="60" t="s">
        <v>52</v>
      </c>
      <c r="AQ81" s="162">
        <f>AC101</f>
        <v>4232.5300000000007</v>
      </c>
      <c r="AR81" s="162">
        <f>AF101</f>
        <v>19052.830000000002</v>
      </c>
      <c r="AS81" s="249">
        <f t="shared" si="32"/>
        <v>0.22214705112048971</v>
      </c>
    </row>
    <row r="82" spans="1:45" x14ac:dyDescent="0.25">
      <c r="A82" s="13" t="s">
        <v>13</v>
      </c>
      <c r="B82" s="14">
        <v>18.14</v>
      </c>
      <c r="C82" s="14">
        <v>0.8600000000000001</v>
      </c>
      <c r="D82" s="14"/>
      <c r="E82" s="14"/>
      <c r="F82" s="14"/>
      <c r="G82" s="14"/>
      <c r="H82" s="14">
        <v>6.39</v>
      </c>
      <c r="I82" s="14">
        <v>1.5</v>
      </c>
      <c r="J82" s="14">
        <v>0.39</v>
      </c>
      <c r="K82" s="14">
        <v>26.11</v>
      </c>
      <c r="L82" s="14">
        <v>8.61</v>
      </c>
      <c r="M82" s="14">
        <v>3.98</v>
      </c>
      <c r="N82" s="14">
        <v>1.6600000000000001</v>
      </c>
      <c r="O82" s="14">
        <v>6.92</v>
      </c>
      <c r="P82" s="14">
        <v>117.02</v>
      </c>
      <c r="Q82" s="14">
        <v>87.13</v>
      </c>
      <c r="R82" s="14">
        <v>254.07000000000002</v>
      </c>
      <c r="S82" s="14">
        <v>1394.23</v>
      </c>
      <c r="T82" s="14">
        <v>1233.52</v>
      </c>
      <c r="U82" s="14">
        <v>565.53</v>
      </c>
      <c r="V82" s="14">
        <v>942.58</v>
      </c>
      <c r="W82" s="14">
        <v>1110.3600000000004</v>
      </c>
      <c r="X82" s="14">
        <v>0.56000000000000005</v>
      </c>
      <c r="Y82" s="14">
        <f t="shared" si="28"/>
        <v>5779.56</v>
      </c>
      <c r="Z82" s="190">
        <f t="shared" si="29"/>
        <v>5.8276197977097328E-2</v>
      </c>
      <c r="AA82" s="91"/>
      <c r="AB82" s="14">
        <f t="shared" si="33"/>
        <v>3160.5299999999997</v>
      </c>
      <c r="AC82" s="14">
        <f t="shared" si="34"/>
        <v>2618.4700000000003</v>
      </c>
      <c r="AD82" s="14">
        <f t="shared" si="35"/>
        <v>0.56000000000000005</v>
      </c>
      <c r="AE82" s="14">
        <v>4.2699999999999996</v>
      </c>
      <c r="AF82" s="14">
        <f t="shared" si="30"/>
        <v>5783.8300000000008</v>
      </c>
      <c r="AG82" s="190">
        <f t="shared" si="31"/>
        <v>0.45272250394634694</v>
      </c>
      <c r="AP82" s="60" t="s">
        <v>54</v>
      </c>
      <c r="AQ82" s="162">
        <f>AC118</f>
        <v>3230.58</v>
      </c>
      <c r="AR82" s="162">
        <f>AF118</f>
        <v>6928.9599999999991</v>
      </c>
      <c r="AS82" s="249">
        <f t="shared" si="32"/>
        <v>0.46624313028217806</v>
      </c>
    </row>
    <row r="83" spans="1:45" x14ac:dyDescent="0.25">
      <c r="A83" s="13" t="s">
        <v>14</v>
      </c>
      <c r="B83" s="14">
        <v>1199.2199999999998</v>
      </c>
      <c r="C83" s="14">
        <v>351.75</v>
      </c>
      <c r="D83" s="14">
        <v>71.61</v>
      </c>
      <c r="E83" s="14">
        <v>52.89</v>
      </c>
      <c r="F83" s="14">
        <v>87.52000000000001</v>
      </c>
      <c r="G83" s="14">
        <v>146.32</v>
      </c>
      <c r="H83" s="14">
        <v>153.79</v>
      </c>
      <c r="I83" s="14">
        <v>143.41999999999999</v>
      </c>
      <c r="J83" s="14">
        <v>114.62</v>
      </c>
      <c r="K83" s="14">
        <v>108.07</v>
      </c>
      <c r="L83" s="14">
        <v>114.24000000000001</v>
      </c>
      <c r="M83" s="14">
        <v>168.72</v>
      </c>
      <c r="N83" s="14">
        <v>145.09</v>
      </c>
      <c r="O83" s="14">
        <v>138.5</v>
      </c>
      <c r="P83" s="14">
        <v>204.35</v>
      </c>
      <c r="Q83" s="14">
        <v>354.65</v>
      </c>
      <c r="R83" s="14">
        <v>750.5</v>
      </c>
      <c r="S83" s="14">
        <v>782.27</v>
      </c>
      <c r="T83" s="14">
        <v>720.56</v>
      </c>
      <c r="U83" s="14">
        <v>341.89</v>
      </c>
      <c r="V83" s="14">
        <v>282.27</v>
      </c>
      <c r="W83" s="14">
        <v>184.20000000000002</v>
      </c>
      <c r="X83" s="14">
        <v>1.3</v>
      </c>
      <c r="Y83" s="14">
        <f t="shared" si="28"/>
        <v>6617.75</v>
      </c>
      <c r="Z83" s="190">
        <f t="shared" si="29"/>
        <v>6.6727797472979924E-2</v>
      </c>
      <c r="AA83" s="91"/>
      <c r="AB83" s="14">
        <f t="shared" si="33"/>
        <v>5808.09</v>
      </c>
      <c r="AC83" s="14">
        <f t="shared" si="34"/>
        <v>808.36</v>
      </c>
      <c r="AD83" s="14">
        <f t="shared" si="35"/>
        <v>1.3</v>
      </c>
      <c r="AE83" s="14">
        <v>6.92</v>
      </c>
      <c r="AF83" s="14">
        <f t="shared" si="30"/>
        <v>6624.67</v>
      </c>
      <c r="AG83" s="190">
        <f t="shared" si="31"/>
        <v>0.12202268188453161</v>
      </c>
      <c r="AP83" s="60" t="s">
        <v>51</v>
      </c>
      <c r="AQ83" s="162">
        <f>AC96</f>
        <v>2876.09</v>
      </c>
      <c r="AR83" s="162">
        <f>AF96</f>
        <v>11074.970000000001</v>
      </c>
      <c r="AS83" s="249">
        <f t="shared" si="32"/>
        <v>0.25969280277960122</v>
      </c>
    </row>
    <row r="84" spans="1:45" x14ac:dyDescent="0.25">
      <c r="A84" s="13" t="s">
        <v>15</v>
      </c>
      <c r="B84" s="14">
        <v>3.52</v>
      </c>
      <c r="C84" s="14">
        <v>22.1</v>
      </c>
      <c r="D84" s="14"/>
      <c r="E84" s="14">
        <v>1.02</v>
      </c>
      <c r="F84" s="14"/>
      <c r="G84" s="14">
        <v>2</v>
      </c>
      <c r="H84" s="14">
        <v>0.17</v>
      </c>
      <c r="I84" s="14"/>
      <c r="J84" s="14"/>
      <c r="K84" s="14">
        <v>3.31</v>
      </c>
      <c r="L84" s="14">
        <v>17.829999999999998</v>
      </c>
      <c r="M84" s="14">
        <v>0.2</v>
      </c>
      <c r="N84" s="14">
        <v>25.2</v>
      </c>
      <c r="O84" s="14"/>
      <c r="P84" s="14">
        <v>24.24</v>
      </c>
      <c r="Q84" s="14">
        <v>82.99</v>
      </c>
      <c r="R84" s="14">
        <v>11.09</v>
      </c>
      <c r="S84" s="14">
        <v>50.260000000000005</v>
      </c>
      <c r="T84" s="14">
        <v>127.11000000000001</v>
      </c>
      <c r="U84" s="14">
        <v>27.64</v>
      </c>
      <c r="V84" s="14">
        <v>21.12</v>
      </c>
      <c r="W84" s="14">
        <v>155.9</v>
      </c>
      <c r="X84" s="14">
        <v>3.27</v>
      </c>
      <c r="Y84" s="14">
        <f t="shared" si="28"/>
        <v>578.97</v>
      </c>
      <c r="Z84" s="190">
        <f t="shared" si="29"/>
        <v>5.8378441166455648E-3</v>
      </c>
      <c r="AA84" s="91"/>
      <c r="AB84" s="14">
        <f t="shared" si="33"/>
        <v>371.04</v>
      </c>
      <c r="AC84" s="14">
        <f t="shared" si="34"/>
        <v>204.66000000000003</v>
      </c>
      <c r="AD84" s="14">
        <f t="shared" si="35"/>
        <v>3.27</v>
      </c>
      <c r="AE84" s="14"/>
      <c r="AF84" s="14">
        <f t="shared" si="30"/>
        <v>578.97</v>
      </c>
      <c r="AG84" s="190">
        <f t="shared" si="31"/>
        <v>0.35348981812529151</v>
      </c>
      <c r="AP84" s="60" t="s">
        <v>60</v>
      </c>
      <c r="AQ84" s="162">
        <f>AC92</f>
        <v>1133.2699999999998</v>
      </c>
      <c r="AR84" s="162">
        <f>AF92</f>
        <v>8162.7999999999984</v>
      </c>
      <c r="AS84" s="249">
        <f t="shared" si="32"/>
        <v>0.138833488508845</v>
      </c>
    </row>
    <row r="85" spans="1:45" x14ac:dyDescent="0.25">
      <c r="A85" s="13" t="s">
        <v>16</v>
      </c>
      <c r="B85" s="14">
        <v>26.339999999999996</v>
      </c>
      <c r="C85" s="14">
        <v>11.98</v>
      </c>
      <c r="D85" s="14"/>
      <c r="E85" s="14"/>
      <c r="F85" s="14"/>
      <c r="G85" s="14"/>
      <c r="H85" s="14"/>
      <c r="I85" s="14">
        <v>10.69</v>
      </c>
      <c r="J85" s="14">
        <v>0.43</v>
      </c>
      <c r="K85" s="14">
        <v>6.67</v>
      </c>
      <c r="L85" s="14">
        <v>0.31000000000000005</v>
      </c>
      <c r="M85" s="14">
        <v>3.13</v>
      </c>
      <c r="N85" s="14"/>
      <c r="O85" s="14">
        <v>1.04</v>
      </c>
      <c r="P85" s="14">
        <v>0.37</v>
      </c>
      <c r="Q85" s="14">
        <v>16.579999999999998</v>
      </c>
      <c r="R85" s="14">
        <v>222.93</v>
      </c>
      <c r="S85" s="14">
        <v>276.29000000000002</v>
      </c>
      <c r="T85" s="14">
        <v>420.01000000000005</v>
      </c>
      <c r="U85" s="14">
        <v>59.41</v>
      </c>
      <c r="V85" s="14">
        <v>130.47999999999999</v>
      </c>
      <c r="W85" s="14">
        <v>127.78000000000002</v>
      </c>
      <c r="X85" s="14">
        <v>0.44</v>
      </c>
      <c r="Y85" s="14">
        <f t="shared" si="28"/>
        <v>1314.88</v>
      </c>
      <c r="Z85" s="190">
        <f t="shared" si="29"/>
        <v>1.3258138542748191E-2</v>
      </c>
      <c r="AA85" s="91"/>
      <c r="AB85" s="14">
        <f t="shared" si="33"/>
        <v>996.77</v>
      </c>
      <c r="AC85" s="14">
        <f t="shared" si="34"/>
        <v>317.67</v>
      </c>
      <c r="AD85" s="14">
        <f t="shared" si="35"/>
        <v>0.44</v>
      </c>
      <c r="AE85" s="14">
        <v>6.77</v>
      </c>
      <c r="AF85" s="14">
        <f t="shared" si="30"/>
        <v>1321.65</v>
      </c>
      <c r="AG85" s="190">
        <f t="shared" si="31"/>
        <v>0.24035864260583362</v>
      </c>
    </row>
    <row r="86" spans="1:45" x14ac:dyDescent="0.25">
      <c r="A86" s="13" t="s">
        <v>17</v>
      </c>
      <c r="B86" s="14">
        <v>23.63</v>
      </c>
      <c r="C86" s="14">
        <v>0.06</v>
      </c>
      <c r="D86" s="14"/>
      <c r="E86" s="14"/>
      <c r="F86" s="14"/>
      <c r="G86" s="14">
        <v>0.25</v>
      </c>
      <c r="H86" s="14"/>
      <c r="I86" s="14"/>
      <c r="J86" s="14"/>
      <c r="K86" s="14">
        <v>28.4</v>
      </c>
      <c r="L86" s="14"/>
      <c r="M86" s="14"/>
      <c r="N86" s="14"/>
      <c r="O86" s="14"/>
      <c r="P86" s="14">
        <v>7.28</v>
      </c>
      <c r="Q86" s="14">
        <v>0.93</v>
      </c>
      <c r="R86" s="14">
        <v>10.81</v>
      </c>
      <c r="S86" s="14">
        <v>5.3900000000000006</v>
      </c>
      <c r="T86" s="14">
        <v>50.91</v>
      </c>
      <c r="U86" s="14">
        <v>16.25</v>
      </c>
      <c r="V86" s="14">
        <v>25.7</v>
      </c>
      <c r="W86" s="14">
        <v>71.599999999999994</v>
      </c>
      <c r="X86" s="14">
        <v>2.86</v>
      </c>
      <c r="Y86" s="14">
        <f t="shared" si="28"/>
        <v>244.07</v>
      </c>
      <c r="Z86" s="190">
        <f t="shared" si="29"/>
        <v>2.4609955844856952E-3</v>
      </c>
      <c r="AA86" s="91"/>
      <c r="AB86" s="14">
        <f t="shared" si="33"/>
        <v>127.66</v>
      </c>
      <c r="AC86" s="14">
        <f t="shared" si="34"/>
        <v>113.55</v>
      </c>
      <c r="AD86" s="14">
        <f t="shared" si="35"/>
        <v>2.86</v>
      </c>
      <c r="AE86" s="14">
        <v>3.35</v>
      </c>
      <c r="AF86" s="14">
        <f t="shared" si="30"/>
        <v>247.42</v>
      </c>
      <c r="AG86" s="190">
        <f t="shared" si="31"/>
        <v>0.45893622180906962</v>
      </c>
    </row>
    <row r="87" spans="1:45" x14ac:dyDescent="0.25">
      <c r="A87" s="13" t="s">
        <v>18</v>
      </c>
      <c r="B87" s="14">
        <v>43.21</v>
      </c>
      <c r="C87" s="14">
        <v>17.559999999999999</v>
      </c>
      <c r="D87" s="14">
        <v>9.98</v>
      </c>
      <c r="E87" s="14"/>
      <c r="F87" s="14">
        <v>59.07</v>
      </c>
      <c r="G87" s="14"/>
      <c r="H87" s="14"/>
      <c r="I87" s="14">
        <v>4.59</v>
      </c>
      <c r="J87" s="14">
        <v>86.89</v>
      </c>
      <c r="K87" s="14">
        <v>155.36000000000001</v>
      </c>
      <c r="L87" s="14">
        <v>32.78</v>
      </c>
      <c r="M87" s="14">
        <v>30.29</v>
      </c>
      <c r="N87" s="14">
        <v>64.16</v>
      </c>
      <c r="O87" s="14">
        <v>21.89</v>
      </c>
      <c r="P87" s="14">
        <v>159.77000000000001</v>
      </c>
      <c r="Q87" s="14">
        <v>227.79000000000002</v>
      </c>
      <c r="R87" s="14">
        <v>636.23</v>
      </c>
      <c r="S87" s="14">
        <v>2052.5700000000002</v>
      </c>
      <c r="T87" s="14">
        <v>2065.2399999999998</v>
      </c>
      <c r="U87" s="14">
        <v>1079.7</v>
      </c>
      <c r="V87" s="14">
        <v>792.86999999999989</v>
      </c>
      <c r="W87" s="14">
        <v>1130.06</v>
      </c>
      <c r="X87" s="14">
        <v>4.1400000000000006</v>
      </c>
      <c r="Y87" s="14">
        <f t="shared" si="28"/>
        <v>8674.15</v>
      </c>
      <c r="Z87" s="190">
        <f t="shared" si="29"/>
        <v>8.7462796940085186E-2</v>
      </c>
      <c r="AA87" s="91"/>
      <c r="AB87" s="14">
        <f t="shared" si="33"/>
        <v>5667.38</v>
      </c>
      <c r="AC87" s="14">
        <f t="shared" si="34"/>
        <v>3002.63</v>
      </c>
      <c r="AD87" s="14">
        <f t="shared" si="35"/>
        <v>4.1400000000000006</v>
      </c>
      <c r="AE87" s="14">
        <v>1.27</v>
      </c>
      <c r="AF87" s="14">
        <f t="shared" si="30"/>
        <v>8675.42</v>
      </c>
      <c r="AG87" s="190">
        <f t="shared" si="31"/>
        <v>0.3461077388760429</v>
      </c>
    </row>
    <row r="88" spans="1:45" x14ac:dyDescent="0.25">
      <c r="A88" s="60" t="s">
        <v>50</v>
      </c>
      <c r="B88" s="61">
        <v>2628.4800000000005</v>
      </c>
      <c r="C88" s="61">
        <v>758.70999999999981</v>
      </c>
      <c r="D88" s="61">
        <v>177.50999999999996</v>
      </c>
      <c r="E88" s="61">
        <v>138.06</v>
      </c>
      <c r="F88" s="61">
        <v>144.99</v>
      </c>
      <c r="G88" s="61">
        <v>158.57000000000002</v>
      </c>
      <c r="H88" s="61">
        <v>420.54000000000008</v>
      </c>
      <c r="I88" s="61">
        <v>252.57</v>
      </c>
      <c r="J88" s="61">
        <v>400.69</v>
      </c>
      <c r="K88" s="61">
        <v>453.71000000000004</v>
      </c>
      <c r="L88" s="61">
        <v>347.95000000000005</v>
      </c>
      <c r="M88" s="61">
        <v>463.69000000000005</v>
      </c>
      <c r="N88" s="61">
        <v>267.95</v>
      </c>
      <c r="O88" s="61">
        <v>463.15</v>
      </c>
      <c r="P88" s="61">
        <v>499.03999999999996</v>
      </c>
      <c r="Q88" s="61">
        <v>715.49</v>
      </c>
      <c r="R88" s="61">
        <v>1256.31</v>
      </c>
      <c r="S88" s="61">
        <v>1298.55</v>
      </c>
      <c r="T88" s="61">
        <v>2636.7400000000002</v>
      </c>
      <c r="U88" s="61">
        <v>1694.5499999999997</v>
      </c>
      <c r="V88" s="61">
        <v>1482.8</v>
      </c>
      <c r="W88" s="61">
        <v>2044.9500000000003</v>
      </c>
      <c r="X88" s="61">
        <v>178.01</v>
      </c>
      <c r="Y88" s="61">
        <f t="shared" si="28"/>
        <v>18883.009999999995</v>
      </c>
      <c r="Z88" s="193">
        <f t="shared" si="29"/>
        <v>0.19040031233580207</v>
      </c>
      <c r="AA88" s="168"/>
      <c r="AB88" s="61">
        <f t="shared" si="33"/>
        <v>13482.699999999997</v>
      </c>
      <c r="AC88" s="61">
        <f t="shared" si="34"/>
        <v>5222.2999999999993</v>
      </c>
      <c r="AD88" s="61">
        <f t="shared" si="35"/>
        <v>178.01</v>
      </c>
      <c r="AE88" s="61">
        <v>10.039999999999999</v>
      </c>
      <c r="AF88" s="61">
        <f t="shared" si="30"/>
        <v>18893.049999999996</v>
      </c>
      <c r="AG88" s="193">
        <f t="shared" si="31"/>
        <v>0.27641381354519257</v>
      </c>
    </row>
    <row r="89" spans="1:45" x14ac:dyDescent="0.25">
      <c r="A89" s="13" t="s">
        <v>19</v>
      </c>
      <c r="B89" s="14">
        <v>333.76000000000005</v>
      </c>
      <c r="C89" s="14">
        <v>111.97999999999998</v>
      </c>
      <c r="D89" s="14">
        <v>1.03</v>
      </c>
      <c r="E89" s="14">
        <v>17.689999999999998</v>
      </c>
      <c r="F89" s="14">
        <v>28.970000000000002</v>
      </c>
      <c r="G89" s="14">
        <v>19.509999999999998</v>
      </c>
      <c r="H89" s="14">
        <v>64.47</v>
      </c>
      <c r="I89" s="14">
        <v>36.410000000000004</v>
      </c>
      <c r="J89" s="14">
        <v>104.96</v>
      </c>
      <c r="K89" s="14">
        <v>86.610000000000014</v>
      </c>
      <c r="L89" s="14">
        <v>61.28</v>
      </c>
      <c r="M89" s="14">
        <v>54.580000000000005</v>
      </c>
      <c r="N89" s="14">
        <v>70.710000000000008</v>
      </c>
      <c r="O89" s="14">
        <v>54.28</v>
      </c>
      <c r="P89" s="14">
        <v>133.13999999999999</v>
      </c>
      <c r="Q89" s="14">
        <v>79.830000000000027</v>
      </c>
      <c r="R89" s="14">
        <v>272.33999999999997</v>
      </c>
      <c r="S89" s="14">
        <v>332.65999999999997</v>
      </c>
      <c r="T89" s="14">
        <v>1674.9</v>
      </c>
      <c r="U89" s="14">
        <v>636.82999999999993</v>
      </c>
      <c r="V89" s="14">
        <v>544.66000000000008</v>
      </c>
      <c r="W89" s="14">
        <v>991.6400000000001</v>
      </c>
      <c r="X89" s="14">
        <v>65.59999999999998</v>
      </c>
      <c r="Y89" s="14">
        <f t="shared" si="28"/>
        <v>5777.8400000000011</v>
      </c>
      <c r="Z89" s="190">
        <f t="shared" si="29"/>
        <v>5.8258854950894542E-2</v>
      </c>
      <c r="AA89" s="91"/>
      <c r="AB89" s="14">
        <f t="shared" si="33"/>
        <v>3539.11</v>
      </c>
      <c r="AC89" s="14">
        <f t="shared" si="34"/>
        <v>2173.13</v>
      </c>
      <c r="AD89" s="14">
        <f t="shared" si="35"/>
        <v>65.59999999999998</v>
      </c>
      <c r="AE89" s="14"/>
      <c r="AF89" s="14">
        <f t="shared" si="30"/>
        <v>5777.84</v>
      </c>
      <c r="AG89" s="190">
        <f t="shared" si="31"/>
        <v>0.37611460338119435</v>
      </c>
    </row>
    <row r="90" spans="1:45" x14ac:dyDescent="0.25">
      <c r="A90" s="13" t="s">
        <v>20</v>
      </c>
      <c r="B90" s="14">
        <v>247.00999999999996</v>
      </c>
      <c r="C90" s="14">
        <v>53.870000000000005</v>
      </c>
      <c r="D90" s="14">
        <v>1.53</v>
      </c>
      <c r="E90" s="14">
        <v>8.75</v>
      </c>
      <c r="F90" s="14">
        <v>21.12</v>
      </c>
      <c r="G90" s="14">
        <v>5.08</v>
      </c>
      <c r="H90" s="14">
        <v>73.610000000000014</v>
      </c>
      <c r="I90" s="14">
        <v>11.67</v>
      </c>
      <c r="J90" s="14">
        <v>19.29</v>
      </c>
      <c r="K90" s="14">
        <v>54.99</v>
      </c>
      <c r="L90" s="14">
        <v>18.850000000000001</v>
      </c>
      <c r="M90" s="14">
        <v>57.28</v>
      </c>
      <c r="N90" s="14">
        <v>10.84</v>
      </c>
      <c r="O90" s="14">
        <v>81</v>
      </c>
      <c r="P90" s="14">
        <v>22.29</v>
      </c>
      <c r="Q90" s="14">
        <v>52.47</v>
      </c>
      <c r="R90" s="14">
        <v>95.32</v>
      </c>
      <c r="S90" s="14">
        <v>94.13</v>
      </c>
      <c r="T90" s="14">
        <v>78.78</v>
      </c>
      <c r="U90" s="14">
        <v>182.53000000000003</v>
      </c>
      <c r="V90" s="14">
        <v>178.12</v>
      </c>
      <c r="W90" s="14">
        <v>118.54</v>
      </c>
      <c r="X90" s="14">
        <v>59.180000000000007</v>
      </c>
      <c r="Y90" s="14">
        <f t="shared" si="28"/>
        <v>1546.2500000000002</v>
      </c>
      <c r="Z90" s="190">
        <f t="shared" si="29"/>
        <v>1.5591078061666762E-2</v>
      </c>
      <c r="AA90" s="91"/>
      <c r="AB90" s="14">
        <f t="shared" si="33"/>
        <v>1007.88</v>
      </c>
      <c r="AC90" s="14">
        <f t="shared" si="34"/>
        <v>479.19000000000005</v>
      </c>
      <c r="AD90" s="14">
        <f t="shared" si="35"/>
        <v>59.180000000000007</v>
      </c>
      <c r="AE90" s="14"/>
      <c r="AF90" s="14">
        <f t="shared" si="30"/>
        <v>1546.2500000000002</v>
      </c>
      <c r="AG90" s="190">
        <f t="shared" si="31"/>
        <v>0.30990460792239288</v>
      </c>
    </row>
    <row r="91" spans="1:45" x14ac:dyDescent="0.25">
      <c r="A91" s="13" t="s">
        <v>21</v>
      </c>
      <c r="B91" s="14">
        <v>2047.7100000000003</v>
      </c>
      <c r="C91" s="14">
        <v>592.8599999999999</v>
      </c>
      <c r="D91" s="14">
        <v>174.94999999999996</v>
      </c>
      <c r="E91" s="14">
        <v>111.61999999999999</v>
      </c>
      <c r="F91" s="14">
        <v>94.9</v>
      </c>
      <c r="G91" s="14">
        <v>133.98000000000002</v>
      </c>
      <c r="H91" s="14">
        <v>282.46000000000004</v>
      </c>
      <c r="I91" s="14">
        <v>204.48999999999998</v>
      </c>
      <c r="J91" s="14">
        <v>276.44</v>
      </c>
      <c r="K91" s="14">
        <v>312.11</v>
      </c>
      <c r="L91" s="14">
        <v>267.82000000000005</v>
      </c>
      <c r="M91" s="14">
        <v>351.83000000000004</v>
      </c>
      <c r="N91" s="14">
        <v>186.39999999999998</v>
      </c>
      <c r="O91" s="14">
        <v>327.87</v>
      </c>
      <c r="P91" s="14">
        <v>343.60999999999996</v>
      </c>
      <c r="Q91" s="14">
        <v>583.18999999999994</v>
      </c>
      <c r="R91" s="14">
        <v>888.65</v>
      </c>
      <c r="S91" s="14">
        <v>871.76</v>
      </c>
      <c r="T91" s="14">
        <v>883.06000000000006</v>
      </c>
      <c r="U91" s="14">
        <v>875.18999999999994</v>
      </c>
      <c r="V91" s="14">
        <v>760.01999999999987</v>
      </c>
      <c r="W91" s="14">
        <v>934.7700000000001</v>
      </c>
      <c r="X91" s="14">
        <v>53.230000000000004</v>
      </c>
      <c r="Y91" s="14">
        <f t="shared" si="28"/>
        <v>11558.919999999998</v>
      </c>
      <c r="Z91" s="190">
        <f t="shared" si="29"/>
        <v>0.11655037932324082</v>
      </c>
      <c r="AA91" s="91"/>
      <c r="AB91" s="14">
        <f t="shared" si="33"/>
        <v>8935.7099999999973</v>
      </c>
      <c r="AC91" s="14">
        <f t="shared" si="34"/>
        <v>2569.98</v>
      </c>
      <c r="AD91" s="14">
        <f t="shared" si="35"/>
        <v>53.230000000000004</v>
      </c>
      <c r="AE91" s="14">
        <v>10.039999999999999</v>
      </c>
      <c r="AF91" s="14">
        <f t="shared" si="30"/>
        <v>11568.959999999997</v>
      </c>
      <c r="AG91" s="190">
        <f t="shared" si="31"/>
        <v>0.2221444278483114</v>
      </c>
    </row>
    <row r="92" spans="1:45" x14ac:dyDescent="0.25">
      <c r="A92" s="60" t="s">
        <v>60</v>
      </c>
      <c r="B92" s="61">
        <v>3318.5600000000004</v>
      </c>
      <c r="C92" s="61">
        <v>476.20999999999992</v>
      </c>
      <c r="D92" s="61">
        <v>37.71</v>
      </c>
      <c r="E92" s="61">
        <v>13.31</v>
      </c>
      <c r="F92" s="61">
        <v>33.97</v>
      </c>
      <c r="G92" s="61">
        <v>74.97999999999999</v>
      </c>
      <c r="H92" s="61">
        <v>117.69999999999999</v>
      </c>
      <c r="I92" s="61">
        <v>47.6</v>
      </c>
      <c r="J92" s="61">
        <v>54.25</v>
      </c>
      <c r="K92" s="61">
        <v>110.08000000000001</v>
      </c>
      <c r="L92" s="61">
        <v>192.15000000000003</v>
      </c>
      <c r="M92" s="61">
        <v>94.300000000000011</v>
      </c>
      <c r="N92" s="61">
        <v>64.150000000000006</v>
      </c>
      <c r="O92" s="61">
        <v>93.009999999999991</v>
      </c>
      <c r="P92" s="61">
        <v>92.210000000000008</v>
      </c>
      <c r="Q92" s="61">
        <v>278.90999999999997</v>
      </c>
      <c r="R92" s="61">
        <v>407.53000000000003</v>
      </c>
      <c r="S92" s="61">
        <v>732.53</v>
      </c>
      <c r="T92" s="61">
        <v>650.2399999999999</v>
      </c>
      <c r="U92" s="61">
        <v>694.90999999999985</v>
      </c>
      <c r="V92" s="61">
        <v>287.05</v>
      </c>
      <c r="W92" s="61">
        <v>151.31</v>
      </c>
      <c r="X92" s="61">
        <v>49.26</v>
      </c>
      <c r="Y92" s="61">
        <f t="shared" si="28"/>
        <v>8071.9299999999994</v>
      </c>
      <c r="Z92" s="193">
        <f t="shared" si="29"/>
        <v>8.1390519475058862E-2</v>
      </c>
      <c r="AA92" s="168"/>
      <c r="AB92" s="61">
        <f t="shared" si="33"/>
        <v>6889.3999999999987</v>
      </c>
      <c r="AC92" s="61">
        <f t="shared" si="34"/>
        <v>1133.2699999999998</v>
      </c>
      <c r="AD92" s="61">
        <f t="shared" si="35"/>
        <v>49.26</v>
      </c>
      <c r="AE92" s="61">
        <v>90.87</v>
      </c>
      <c r="AF92" s="61">
        <f t="shared" si="30"/>
        <v>8162.7999999999984</v>
      </c>
      <c r="AG92" s="193">
        <f t="shared" si="31"/>
        <v>0.138833488508845</v>
      </c>
    </row>
    <row r="93" spans="1:45" x14ac:dyDescent="0.25">
      <c r="A93" s="13" t="s">
        <v>22</v>
      </c>
      <c r="B93" s="14">
        <v>2033.19</v>
      </c>
      <c r="C93" s="14">
        <v>312.99999999999994</v>
      </c>
      <c r="D93" s="14">
        <v>14.559999999999999</v>
      </c>
      <c r="E93" s="14">
        <v>2.72</v>
      </c>
      <c r="F93" s="14">
        <v>10.34</v>
      </c>
      <c r="G93" s="14">
        <v>14.92</v>
      </c>
      <c r="H93" s="14">
        <v>47.58</v>
      </c>
      <c r="I93" s="14">
        <v>22.490000000000002</v>
      </c>
      <c r="J93" s="14">
        <v>8.51</v>
      </c>
      <c r="K93" s="14">
        <v>44.34</v>
      </c>
      <c r="L93" s="14">
        <v>68.58</v>
      </c>
      <c r="M93" s="14">
        <v>9.43</v>
      </c>
      <c r="N93" s="14">
        <v>17.55</v>
      </c>
      <c r="O93" s="14">
        <v>48.69</v>
      </c>
      <c r="P93" s="14">
        <v>13.420000000000002</v>
      </c>
      <c r="Q93" s="14">
        <v>105.91</v>
      </c>
      <c r="R93" s="14">
        <v>147.36000000000001</v>
      </c>
      <c r="S93" s="14">
        <v>474.65999999999997</v>
      </c>
      <c r="T93" s="14">
        <v>404.84999999999997</v>
      </c>
      <c r="U93" s="14">
        <v>515.79</v>
      </c>
      <c r="V93" s="14">
        <v>112.04000000000002</v>
      </c>
      <c r="W93" s="14">
        <v>64.42</v>
      </c>
      <c r="X93" s="14">
        <v>23.38</v>
      </c>
      <c r="Y93" s="14">
        <f t="shared" si="28"/>
        <v>4517.7299999999996</v>
      </c>
      <c r="Z93" s="190">
        <f t="shared" si="29"/>
        <v>4.5552970794848026E-2</v>
      </c>
      <c r="AA93" s="91"/>
      <c r="AB93" s="14">
        <f t="shared" si="33"/>
        <v>3802.1</v>
      </c>
      <c r="AC93" s="14">
        <f t="shared" si="34"/>
        <v>692.24999999999989</v>
      </c>
      <c r="AD93" s="14">
        <f t="shared" si="35"/>
        <v>23.38</v>
      </c>
      <c r="AE93" s="14">
        <v>30.71</v>
      </c>
      <c r="AF93" s="14">
        <f t="shared" si="30"/>
        <v>4548.4399999999996</v>
      </c>
      <c r="AG93" s="190">
        <f t="shared" si="31"/>
        <v>0.15219503829884531</v>
      </c>
    </row>
    <row r="94" spans="1:45" x14ac:dyDescent="0.25">
      <c r="A94" s="13" t="s">
        <v>23</v>
      </c>
      <c r="B94" s="14">
        <v>407.9000000000002</v>
      </c>
      <c r="C94" s="14">
        <v>50.489999999999995</v>
      </c>
      <c r="D94" s="14">
        <v>11.379999999999999</v>
      </c>
      <c r="E94" s="14">
        <v>8.1</v>
      </c>
      <c r="F94" s="14">
        <v>7.05</v>
      </c>
      <c r="G94" s="14">
        <v>25.439999999999998</v>
      </c>
      <c r="H94" s="14">
        <v>24.36</v>
      </c>
      <c r="I94" s="14">
        <v>6.91</v>
      </c>
      <c r="J94" s="14">
        <v>15.55</v>
      </c>
      <c r="K94" s="14">
        <v>17.16</v>
      </c>
      <c r="L94" s="14">
        <v>68.66</v>
      </c>
      <c r="M94" s="14">
        <v>39.750000000000007</v>
      </c>
      <c r="N94" s="14">
        <v>17.020000000000003</v>
      </c>
      <c r="O94" s="14">
        <v>19.55</v>
      </c>
      <c r="P94" s="14">
        <v>37.050000000000004</v>
      </c>
      <c r="Q94" s="14">
        <v>86.77000000000001</v>
      </c>
      <c r="R94" s="14">
        <v>95.23</v>
      </c>
      <c r="S94" s="14">
        <v>99.77</v>
      </c>
      <c r="T94" s="14">
        <v>79.339999999999989</v>
      </c>
      <c r="U94" s="14">
        <v>53.280000000000008</v>
      </c>
      <c r="V94" s="14">
        <v>55.9</v>
      </c>
      <c r="W94" s="14">
        <v>30.26</v>
      </c>
      <c r="X94" s="14">
        <v>10.299999999999999</v>
      </c>
      <c r="Y94" s="14">
        <f t="shared" si="28"/>
        <v>1267.22</v>
      </c>
      <c r="Z94" s="190">
        <f t="shared" si="29"/>
        <v>1.2777575386454553E-2</v>
      </c>
      <c r="AA94" s="91"/>
      <c r="AB94" s="14">
        <f t="shared" si="33"/>
        <v>1117.48</v>
      </c>
      <c r="AC94" s="14">
        <f t="shared" si="34"/>
        <v>139.44</v>
      </c>
      <c r="AD94" s="14">
        <f t="shared" si="35"/>
        <v>10.299999999999999</v>
      </c>
      <c r="AE94" s="14">
        <v>13.01</v>
      </c>
      <c r="AF94" s="14">
        <f t="shared" si="30"/>
        <v>1280.23</v>
      </c>
      <c r="AG94" s="190">
        <f t="shared" si="31"/>
        <v>0.10891792880966701</v>
      </c>
    </row>
    <row r="95" spans="1:45" x14ac:dyDescent="0.25">
      <c r="A95" s="13" t="s">
        <v>24</v>
      </c>
      <c r="B95" s="14">
        <v>877.47000000000025</v>
      </c>
      <c r="C95" s="14">
        <v>112.72</v>
      </c>
      <c r="D95" s="14">
        <v>11.770000000000001</v>
      </c>
      <c r="E95" s="14">
        <v>2.4900000000000002</v>
      </c>
      <c r="F95" s="14">
        <v>16.580000000000002</v>
      </c>
      <c r="G95" s="14">
        <v>34.619999999999997</v>
      </c>
      <c r="H95" s="14">
        <v>45.76</v>
      </c>
      <c r="I95" s="14">
        <v>18.2</v>
      </c>
      <c r="J95" s="14">
        <v>30.19</v>
      </c>
      <c r="K95" s="14">
        <v>48.580000000000005</v>
      </c>
      <c r="L95" s="14">
        <v>54.910000000000011</v>
      </c>
      <c r="M95" s="14">
        <v>45.120000000000005</v>
      </c>
      <c r="N95" s="14">
        <v>29.58</v>
      </c>
      <c r="O95" s="14">
        <v>24.770000000000003</v>
      </c>
      <c r="P95" s="14">
        <v>41.74</v>
      </c>
      <c r="Q95" s="14">
        <v>86.22999999999999</v>
      </c>
      <c r="R95" s="14">
        <v>164.94</v>
      </c>
      <c r="S95" s="14">
        <v>158.09999999999997</v>
      </c>
      <c r="T95" s="14">
        <v>166.04999999999998</v>
      </c>
      <c r="U95" s="14">
        <v>125.83999999999997</v>
      </c>
      <c r="V95" s="14">
        <v>119.10999999999999</v>
      </c>
      <c r="W95" s="14">
        <v>56.63</v>
      </c>
      <c r="X95" s="14">
        <v>15.58</v>
      </c>
      <c r="Y95" s="14">
        <f t="shared" si="28"/>
        <v>2286.9800000000005</v>
      </c>
      <c r="Z95" s="190">
        <f t="shared" si="29"/>
        <v>2.3059973293756284E-2</v>
      </c>
      <c r="AA95" s="91"/>
      <c r="AB95" s="14">
        <f t="shared" si="33"/>
        <v>1969.8200000000002</v>
      </c>
      <c r="AC95" s="14">
        <f t="shared" si="34"/>
        <v>301.58</v>
      </c>
      <c r="AD95" s="14">
        <f t="shared" si="35"/>
        <v>15.58</v>
      </c>
      <c r="AE95" s="14">
        <v>47.15</v>
      </c>
      <c r="AF95" s="14">
        <f t="shared" si="30"/>
        <v>2334.13</v>
      </c>
      <c r="AG95" s="190">
        <f t="shared" si="31"/>
        <v>0.12920445733528121</v>
      </c>
    </row>
    <row r="96" spans="1:45" x14ac:dyDescent="0.25">
      <c r="A96" s="60" t="s">
        <v>51</v>
      </c>
      <c r="B96" s="61">
        <v>2329.7199999999998</v>
      </c>
      <c r="C96" s="61">
        <v>181.57</v>
      </c>
      <c r="D96" s="61">
        <v>22.61</v>
      </c>
      <c r="E96" s="61">
        <v>10.53</v>
      </c>
      <c r="F96" s="61">
        <v>48.57</v>
      </c>
      <c r="G96" s="61">
        <v>35.769999999999996</v>
      </c>
      <c r="H96" s="61">
        <v>78.53</v>
      </c>
      <c r="I96" s="61">
        <v>53.89</v>
      </c>
      <c r="J96" s="61">
        <v>93.28</v>
      </c>
      <c r="K96" s="61">
        <v>180.24999999999997</v>
      </c>
      <c r="L96" s="61">
        <v>99.70999999999998</v>
      </c>
      <c r="M96" s="61">
        <v>111.47000000000001</v>
      </c>
      <c r="N96" s="61">
        <v>137.89999999999998</v>
      </c>
      <c r="O96" s="61">
        <v>106.31</v>
      </c>
      <c r="P96" s="61">
        <v>292.48</v>
      </c>
      <c r="Q96" s="61">
        <v>491.56000000000006</v>
      </c>
      <c r="R96" s="61">
        <v>861.73</v>
      </c>
      <c r="S96" s="61">
        <v>1378.9599999999998</v>
      </c>
      <c r="T96" s="61">
        <v>1684.04</v>
      </c>
      <c r="U96" s="61">
        <v>858.41000000000008</v>
      </c>
      <c r="V96" s="61">
        <v>876.08999999999992</v>
      </c>
      <c r="W96" s="61">
        <v>1141.5900000000001</v>
      </c>
      <c r="X96" s="61"/>
      <c r="Y96" s="61">
        <f t="shared" si="28"/>
        <v>11074.970000000001</v>
      </c>
      <c r="Z96" s="193">
        <f t="shared" si="29"/>
        <v>0.11167063657275184</v>
      </c>
      <c r="AA96" s="168"/>
      <c r="AB96" s="61">
        <f t="shared" si="33"/>
        <v>8198.880000000001</v>
      </c>
      <c r="AC96" s="61">
        <f t="shared" si="34"/>
        <v>2876.09</v>
      </c>
      <c r="AD96" s="61">
        <f t="shared" si="35"/>
        <v>0</v>
      </c>
      <c r="AE96" s="61"/>
      <c r="AF96" s="61">
        <f t="shared" si="30"/>
        <v>11074.970000000001</v>
      </c>
      <c r="AG96" s="193">
        <f t="shared" si="31"/>
        <v>0.25969280277960122</v>
      </c>
    </row>
    <row r="97" spans="1:38" x14ac:dyDescent="0.25">
      <c r="A97" s="13" t="s">
        <v>25</v>
      </c>
      <c r="B97" s="14">
        <v>6.9799999999999995</v>
      </c>
      <c r="C97" s="14">
        <v>0.89999999999999991</v>
      </c>
      <c r="D97" s="14"/>
      <c r="E97" s="14">
        <v>0.01</v>
      </c>
      <c r="F97" s="14"/>
      <c r="G97" s="14"/>
      <c r="H97" s="14"/>
      <c r="I97" s="14"/>
      <c r="J97" s="14"/>
      <c r="K97" s="14"/>
      <c r="L97" s="14"/>
      <c r="M97" s="14">
        <v>0.48</v>
      </c>
      <c r="N97" s="14"/>
      <c r="O97" s="14"/>
      <c r="P97" s="14"/>
      <c r="Q97" s="14">
        <v>0.22999999999999998</v>
      </c>
      <c r="R97" s="14">
        <v>5.67</v>
      </c>
      <c r="S97" s="14"/>
      <c r="T97" s="14">
        <v>0.44</v>
      </c>
      <c r="U97" s="14">
        <v>0.02</v>
      </c>
      <c r="V97" s="14">
        <v>2.62</v>
      </c>
      <c r="W97" s="14">
        <v>0.02</v>
      </c>
      <c r="X97" s="14"/>
      <c r="Y97" s="14">
        <f t="shared" si="28"/>
        <v>17.369999999999997</v>
      </c>
      <c r="Z97" s="190">
        <f t="shared" si="29"/>
        <v>1.7514439833865906E-4</v>
      </c>
      <c r="AA97" s="91"/>
      <c r="AB97" s="14">
        <f t="shared" si="33"/>
        <v>14.709999999999999</v>
      </c>
      <c r="AC97" s="14">
        <f t="shared" si="34"/>
        <v>2.66</v>
      </c>
      <c r="AD97" s="14">
        <f t="shared" si="35"/>
        <v>0</v>
      </c>
      <c r="AE97" s="14"/>
      <c r="AF97" s="14">
        <f t="shared" si="30"/>
        <v>17.369999999999997</v>
      </c>
      <c r="AG97" s="190">
        <f t="shared" si="31"/>
        <v>0.15313759355210135</v>
      </c>
    </row>
    <row r="98" spans="1:38" x14ac:dyDescent="0.25">
      <c r="A98" s="13" t="s">
        <v>26</v>
      </c>
      <c r="B98" s="14">
        <v>1.48</v>
      </c>
      <c r="C98" s="14">
        <v>0.47000000000000003</v>
      </c>
      <c r="D98" s="14"/>
      <c r="E98" s="14"/>
      <c r="F98" s="14"/>
      <c r="G98" s="14"/>
      <c r="H98" s="14">
        <v>0.38</v>
      </c>
      <c r="I98" s="14"/>
      <c r="J98" s="14"/>
      <c r="K98" s="14"/>
      <c r="L98" s="14"/>
      <c r="M98" s="14"/>
      <c r="N98" s="14"/>
      <c r="O98" s="14"/>
      <c r="P98" s="14"/>
      <c r="Q98" s="14">
        <v>1.1900000000000002</v>
      </c>
      <c r="R98" s="14"/>
      <c r="S98" s="14"/>
      <c r="T98" s="14">
        <v>2.44</v>
      </c>
      <c r="U98" s="14">
        <v>0.18</v>
      </c>
      <c r="V98" s="14">
        <v>2.0499999999999998</v>
      </c>
      <c r="W98" s="14">
        <v>22.869999999999997</v>
      </c>
      <c r="X98" s="14"/>
      <c r="Y98" s="14">
        <f t="shared" si="28"/>
        <v>31.06</v>
      </c>
      <c r="Z98" s="190">
        <f t="shared" si="29"/>
        <v>3.1318278712715898E-4</v>
      </c>
      <c r="AA98" s="91"/>
      <c r="AB98" s="14">
        <f t="shared" si="33"/>
        <v>5.9600000000000009</v>
      </c>
      <c r="AC98" s="14">
        <f t="shared" si="34"/>
        <v>25.099999999999998</v>
      </c>
      <c r="AD98" s="14">
        <f t="shared" si="35"/>
        <v>0</v>
      </c>
      <c r="AE98" s="14"/>
      <c r="AF98" s="14">
        <f t="shared" si="30"/>
        <v>31.06</v>
      </c>
      <c r="AG98" s="190">
        <f t="shared" si="31"/>
        <v>0.80811332904056665</v>
      </c>
    </row>
    <row r="99" spans="1:38" x14ac:dyDescent="0.25">
      <c r="A99" s="13" t="s">
        <v>27</v>
      </c>
      <c r="B99" s="14">
        <v>956.2000000000005</v>
      </c>
      <c r="C99" s="14">
        <v>86.63</v>
      </c>
      <c r="D99" s="14">
        <v>11.449999999999998</v>
      </c>
      <c r="E99" s="14">
        <v>5.47</v>
      </c>
      <c r="F99" s="14">
        <v>38.799999999999997</v>
      </c>
      <c r="G99" s="14">
        <v>11.84</v>
      </c>
      <c r="H99" s="14">
        <v>43.160000000000004</v>
      </c>
      <c r="I99" s="14">
        <v>32.79</v>
      </c>
      <c r="J99" s="14">
        <v>68.709999999999994</v>
      </c>
      <c r="K99" s="14">
        <v>136.41999999999999</v>
      </c>
      <c r="L99" s="14">
        <v>81.84999999999998</v>
      </c>
      <c r="M99" s="14">
        <v>80.92</v>
      </c>
      <c r="N99" s="14">
        <v>106.41999999999999</v>
      </c>
      <c r="O99" s="14">
        <v>64.720000000000013</v>
      </c>
      <c r="P99" s="14">
        <v>223.91</v>
      </c>
      <c r="Q99" s="14">
        <v>374.71000000000004</v>
      </c>
      <c r="R99" s="14">
        <v>565.2700000000001</v>
      </c>
      <c r="S99" s="14">
        <v>1018.8399999999998</v>
      </c>
      <c r="T99" s="14">
        <v>1300.97</v>
      </c>
      <c r="U99" s="14">
        <v>644.54000000000008</v>
      </c>
      <c r="V99" s="14">
        <v>545.11999999999989</v>
      </c>
      <c r="W99" s="14">
        <v>923.17000000000019</v>
      </c>
      <c r="X99" s="14"/>
      <c r="Y99" s="14">
        <f t="shared" si="28"/>
        <v>7321.9100000000008</v>
      </c>
      <c r="Z99" s="190">
        <f t="shared" si="29"/>
        <v>7.3827951735164737E-2</v>
      </c>
      <c r="AA99" s="91"/>
      <c r="AB99" s="14">
        <f t="shared" si="33"/>
        <v>5209.0800000000008</v>
      </c>
      <c r="AC99" s="14">
        <f t="shared" si="34"/>
        <v>2112.83</v>
      </c>
      <c r="AD99" s="14">
        <f t="shared" si="35"/>
        <v>0</v>
      </c>
      <c r="AE99" s="14"/>
      <c r="AF99" s="14">
        <f t="shared" si="30"/>
        <v>7321.9100000000008</v>
      </c>
      <c r="AG99" s="190">
        <f t="shared" si="31"/>
        <v>0.28856268378059818</v>
      </c>
    </row>
    <row r="100" spans="1:38" x14ac:dyDescent="0.25">
      <c r="A100" s="13" t="s">
        <v>28</v>
      </c>
      <c r="B100" s="14">
        <v>1365.0599999999993</v>
      </c>
      <c r="C100" s="14">
        <v>93.569999999999979</v>
      </c>
      <c r="D100" s="14">
        <v>11.16</v>
      </c>
      <c r="E100" s="14">
        <v>5.05</v>
      </c>
      <c r="F100" s="14">
        <v>9.7700000000000014</v>
      </c>
      <c r="G100" s="14">
        <v>23.93</v>
      </c>
      <c r="H100" s="14">
        <v>34.99</v>
      </c>
      <c r="I100" s="14">
        <v>21.099999999999998</v>
      </c>
      <c r="J100" s="14">
        <v>24.570000000000004</v>
      </c>
      <c r="K100" s="14">
        <v>43.829999999999991</v>
      </c>
      <c r="L100" s="14">
        <v>17.860000000000003</v>
      </c>
      <c r="M100" s="14">
        <v>30.070000000000007</v>
      </c>
      <c r="N100" s="14">
        <v>31.48</v>
      </c>
      <c r="O100" s="14">
        <v>41.589999999999989</v>
      </c>
      <c r="P100" s="14">
        <v>68.570000000000022</v>
      </c>
      <c r="Q100" s="14">
        <v>115.42999999999999</v>
      </c>
      <c r="R100" s="14">
        <v>290.78999999999991</v>
      </c>
      <c r="S100" s="14">
        <v>360.12</v>
      </c>
      <c r="T100" s="14">
        <v>380.18999999999994</v>
      </c>
      <c r="U100" s="14">
        <v>213.67</v>
      </c>
      <c r="V100" s="14">
        <v>326.30000000000007</v>
      </c>
      <c r="W100" s="14">
        <v>195.52999999999997</v>
      </c>
      <c r="X100" s="14"/>
      <c r="Y100" s="14">
        <f t="shared" si="28"/>
        <v>3704.6299999999992</v>
      </c>
      <c r="Z100" s="190">
        <f t="shared" si="29"/>
        <v>3.7354357652121271E-2</v>
      </c>
      <c r="AA100" s="91"/>
      <c r="AB100" s="14">
        <f t="shared" si="33"/>
        <v>2969.1299999999987</v>
      </c>
      <c r="AC100" s="14">
        <f t="shared" si="34"/>
        <v>735.5</v>
      </c>
      <c r="AD100" s="14">
        <f t="shared" si="35"/>
        <v>0</v>
      </c>
      <c r="AE100" s="14"/>
      <c r="AF100" s="14">
        <f t="shared" si="30"/>
        <v>3704.6299999999987</v>
      </c>
      <c r="AG100" s="190">
        <f t="shared" si="31"/>
        <v>0.19853534630988798</v>
      </c>
    </row>
    <row r="101" spans="1:38" x14ac:dyDescent="0.25">
      <c r="A101" s="60" t="s">
        <v>52</v>
      </c>
      <c r="B101" s="61">
        <v>1627.2900000000006</v>
      </c>
      <c r="C101" s="61">
        <v>623.32000000000005</v>
      </c>
      <c r="D101" s="61">
        <v>99.11</v>
      </c>
      <c r="E101" s="61">
        <v>164.95</v>
      </c>
      <c r="F101" s="61">
        <v>59.660000000000004</v>
      </c>
      <c r="G101" s="61">
        <v>215.93</v>
      </c>
      <c r="H101" s="61">
        <v>253.45999999999998</v>
      </c>
      <c r="I101" s="61">
        <v>241.86</v>
      </c>
      <c r="J101" s="61">
        <v>376.2</v>
      </c>
      <c r="K101" s="61">
        <v>265.59000000000003</v>
      </c>
      <c r="L101" s="61">
        <v>207.89000000000001</v>
      </c>
      <c r="M101" s="61">
        <v>211.29</v>
      </c>
      <c r="N101" s="61">
        <v>239.07</v>
      </c>
      <c r="O101" s="61">
        <v>322.82</v>
      </c>
      <c r="P101" s="61">
        <v>408.49999999999994</v>
      </c>
      <c r="Q101" s="61">
        <v>864.84999999999991</v>
      </c>
      <c r="R101" s="61">
        <v>2252.4999999999995</v>
      </c>
      <c r="S101" s="61">
        <v>3713.9900000000007</v>
      </c>
      <c r="T101" s="61">
        <v>2641.6899999999996</v>
      </c>
      <c r="U101" s="61">
        <v>1356.5900000000001</v>
      </c>
      <c r="V101" s="61">
        <v>1603.3000000000002</v>
      </c>
      <c r="W101" s="61">
        <v>1272.6400000000001</v>
      </c>
      <c r="X101" s="61">
        <v>20.880000000000003</v>
      </c>
      <c r="Y101" s="61">
        <f t="shared" si="28"/>
        <v>19043.379999999997</v>
      </c>
      <c r="Z101" s="193">
        <f t="shared" si="29"/>
        <v>0.19201734786611707</v>
      </c>
      <c r="AA101" s="168"/>
      <c r="AB101" s="61">
        <f t="shared" si="33"/>
        <v>14789.969999999998</v>
      </c>
      <c r="AC101" s="61">
        <f t="shared" si="34"/>
        <v>4232.5300000000007</v>
      </c>
      <c r="AD101" s="61">
        <f t="shared" si="35"/>
        <v>20.880000000000003</v>
      </c>
      <c r="AE101" s="61">
        <v>9.4499999999999993</v>
      </c>
      <c r="AF101" s="61">
        <f t="shared" si="30"/>
        <v>19052.830000000002</v>
      </c>
      <c r="AG101" s="193">
        <f t="shared" si="31"/>
        <v>0.22214705112048971</v>
      </c>
    </row>
    <row r="102" spans="1:38" x14ac:dyDescent="0.25">
      <c r="A102" s="13" t="s">
        <v>29</v>
      </c>
      <c r="B102" s="14">
        <v>1331.8400000000006</v>
      </c>
      <c r="C102" s="14">
        <v>502.78000000000009</v>
      </c>
      <c r="D102" s="14">
        <v>69.55</v>
      </c>
      <c r="E102" s="14">
        <v>117.22999999999999</v>
      </c>
      <c r="F102" s="14">
        <v>41.14</v>
      </c>
      <c r="G102" s="14">
        <v>181.44</v>
      </c>
      <c r="H102" s="14">
        <v>224.45</v>
      </c>
      <c r="I102" s="14">
        <v>194.74</v>
      </c>
      <c r="J102" s="14">
        <v>230.98</v>
      </c>
      <c r="K102" s="14">
        <v>219.86</v>
      </c>
      <c r="L102" s="14">
        <v>151.72000000000003</v>
      </c>
      <c r="M102" s="14">
        <v>117.52</v>
      </c>
      <c r="N102" s="14">
        <v>181.22</v>
      </c>
      <c r="O102" s="14">
        <v>262.76</v>
      </c>
      <c r="P102" s="14">
        <v>351.08</v>
      </c>
      <c r="Q102" s="14">
        <v>619.06999999999994</v>
      </c>
      <c r="R102" s="14">
        <v>1126.6199999999999</v>
      </c>
      <c r="S102" s="14">
        <v>2321.42</v>
      </c>
      <c r="T102" s="14">
        <v>1615.3299999999997</v>
      </c>
      <c r="U102" s="14">
        <v>738.54000000000008</v>
      </c>
      <c r="V102" s="14">
        <v>984.47000000000014</v>
      </c>
      <c r="W102" s="14">
        <v>516.6</v>
      </c>
      <c r="X102" s="14">
        <v>18.190000000000001</v>
      </c>
      <c r="Y102" s="14">
        <f t="shared" si="28"/>
        <v>12118.550000000003</v>
      </c>
      <c r="Z102" s="190">
        <f t="shared" si="29"/>
        <v>0.12219321522665272</v>
      </c>
      <c r="AA102" s="91"/>
      <c r="AB102" s="14">
        <f t="shared" si="33"/>
        <v>9860.7500000000018</v>
      </c>
      <c r="AC102" s="14">
        <f t="shared" si="34"/>
        <v>2239.61</v>
      </c>
      <c r="AD102" s="14">
        <f t="shared" si="35"/>
        <v>18.190000000000001</v>
      </c>
      <c r="AE102" s="14">
        <v>2.61</v>
      </c>
      <c r="AF102" s="14">
        <f t="shared" si="30"/>
        <v>12121.160000000003</v>
      </c>
      <c r="AG102" s="190">
        <f t="shared" si="31"/>
        <v>0.18476861950506382</v>
      </c>
    </row>
    <row r="103" spans="1:38" x14ac:dyDescent="0.25">
      <c r="A103" s="13" t="s">
        <v>30</v>
      </c>
      <c r="B103" s="14">
        <v>134.68999999999997</v>
      </c>
      <c r="C103" s="14">
        <v>16.189999999999998</v>
      </c>
      <c r="D103" s="14">
        <v>26.41</v>
      </c>
      <c r="E103" s="14">
        <v>1.3</v>
      </c>
      <c r="F103" s="14">
        <v>2.3199999999999998</v>
      </c>
      <c r="G103" s="14">
        <v>4.68</v>
      </c>
      <c r="H103" s="14">
        <v>3.27</v>
      </c>
      <c r="I103" s="14">
        <v>2.19</v>
      </c>
      <c r="J103" s="14">
        <v>71.2</v>
      </c>
      <c r="K103" s="14">
        <v>34.200000000000003</v>
      </c>
      <c r="L103" s="14">
        <v>12.18</v>
      </c>
      <c r="M103" s="14">
        <v>23.990000000000002</v>
      </c>
      <c r="N103" s="14">
        <v>26.919999999999998</v>
      </c>
      <c r="O103" s="14">
        <v>19.750000000000004</v>
      </c>
      <c r="P103" s="14">
        <v>13.450000000000001</v>
      </c>
      <c r="Q103" s="14">
        <v>100.13</v>
      </c>
      <c r="R103" s="14">
        <v>351.30999999999995</v>
      </c>
      <c r="S103" s="14">
        <v>716.95999999999992</v>
      </c>
      <c r="T103" s="14">
        <v>539.03</v>
      </c>
      <c r="U103" s="14">
        <v>311.86</v>
      </c>
      <c r="V103" s="14">
        <v>408.68999999999994</v>
      </c>
      <c r="W103" s="14">
        <v>297.88</v>
      </c>
      <c r="X103" s="14">
        <v>1.08</v>
      </c>
      <c r="Y103" s="14">
        <f t="shared" si="28"/>
        <v>3119.6800000000003</v>
      </c>
      <c r="Z103" s="190">
        <f t="shared" si="29"/>
        <v>3.1456216269956712E-2</v>
      </c>
      <c r="AA103" s="91"/>
      <c r="AB103" s="14">
        <f t="shared" si="33"/>
        <v>2100.17</v>
      </c>
      <c r="AC103" s="14">
        <f t="shared" si="34"/>
        <v>1018.43</v>
      </c>
      <c r="AD103" s="14">
        <f t="shared" si="35"/>
        <v>1.08</v>
      </c>
      <c r="AE103" s="14">
        <v>5.67</v>
      </c>
      <c r="AF103" s="14">
        <f t="shared" si="30"/>
        <v>3125.35</v>
      </c>
      <c r="AG103" s="190">
        <f t="shared" si="31"/>
        <v>0.32586110355640169</v>
      </c>
    </row>
    <row r="104" spans="1:38" x14ac:dyDescent="0.25">
      <c r="A104" s="13" t="s">
        <v>31</v>
      </c>
      <c r="B104" s="14">
        <v>2.41</v>
      </c>
      <c r="C104" s="14">
        <v>5.71</v>
      </c>
      <c r="D104" s="14"/>
      <c r="E104" s="14">
        <v>0.02</v>
      </c>
      <c r="F104" s="14"/>
      <c r="G104" s="14">
        <v>0.22</v>
      </c>
      <c r="H104" s="14">
        <v>0.7</v>
      </c>
      <c r="I104" s="14"/>
      <c r="J104" s="14">
        <v>2.95</v>
      </c>
      <c r="K104" s="14">
        <v>5.91</v>
      </c>
      <c r="L104" s="14">
        <v>7.14</v>
      </c>
      <c r="M104" s="14">
        <v>4.72</v>
      </c>
      <c r="N104" s="14">
        <v>0.45</v>
      </c>
      <c r="O104" s="14">
        <v>14.95</v>
      </c>
      <c r="P104" s="14">
        <v>0.19</v>
      </c>
      <c r="Q104" s="14">
        <v>19.27</v>
      </c>
      <c r="R104" s="14">
        <v>113.37</v>
      </c>
      <c r="S104" s="14">
        <v>245.72000000000003</v>
      </c>
      <c r="T104" s="14">
        <v>174.02</v>
      </c>
      <c r="U104" s="14">
        <v>55.5</v>
      </c>
      <c r="V104" s="14">
        <v>78.759999999999991</v>
      </c>
      <c r="W104" s="14">
        <v>111.97000000000001</v>
      </c>
      <c r="X104" s="14">
        <v>0.21000000000000002</v>
      </c>
      <c r="Y104" s="14">
        <f t="shared" si="28"/>
        <v>844.19</v>
      </c>
      <c r="Z104" s="190">
        <f t="shared" si="29"/>
        <v>8.5120984244969854E-3</v>
      </c>
      <c r="AA104" s="91"/>
      <c r="AB104" s="14">
        <f t="shared" si="33"/>
        <v>597.75</v>
      </c>
      <c r="AC104" s="14">
        <f t="shared" si="34"/>
        <v>246.23000000000002</v>
      </c>
      <c r="AD104" s="14">
        <f t="shared" si="35"/>
        <v>0.21000000000000002</v>
      </c>
      <c r="AE104" s="14">
        <v>0.18</v>
      </c>
      <c r="AF104" s="14">
        <f t="shared" si="30"/>
        <v>844.37</v>
      </c>
      <c r="AG104" s="190">
        <f t="shared" si="31"/>
        <v>0.29161386595923589</v>
      </c>
    </row>
    <row r="105" spans="1:38" x14ac:dyDescent="0.25">
      <c r="A105" s="13" t="s">
        <v>32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>
        <v>7</v>
      </c>
      <c r="R105" s="14">
        <v>7.32</v>
      </c>
      <c r="S105" s="14">
        <v>5.1099999999999994</v>
      </c>
      <c r="T105" s="14">
        <v>10.420000000000002</v>
      </c>
      <c r="U105" s="14">
        <v>2.17</v>
      </c>
      <c r="V105" s="14"/>
      <c r="W105" s="14">
        <v>3.01</v>
      </c>
      <c r="X105" s="14">
        <v>0.97</v>
      </c>
      <c r="Y105" s="14">
        <f t="shared" si="28"/>
        <v>36</v>
      </c>
      <c r="Z105" s="190">
        <f t="shared" si="29"/>
        <v>3.6299357168634007E-4</v>
      </c>
      <c r="AA105" s="91"/>
      <c r="AB105" s="14">
        <f t="shared" si="33"/>
        <v>29.85</v>
      </c>
      <c r="AC105" s="14">
        <f t="shared" si="34"/>
        <v>5.18</v>
      </c>
      <c r="AD105" s="14">
        <f t="shared" si="35"/>
        <v>0.97</v>
      </c>
      <c r="AE105" s="14">
        <v>0.09</v>
      </c>
      <c r="AF105" s="14">
        <f t="shared" si="30"/>
        <v>36.090000000000003</v>
      </c>
      <c r="AG105" s="190">
        <f t="shared" si="31"/>
        <v>0.14353006372956495</v>
      </c>
    </row>
    <row r="106" spans="1:38" x14ac:dyDescent="0.25">
      <c r="A106" s="13" t="s">
        <v>33</v>
      </c>
      <c r="B106" s="14">
        <v>158.35</v>
      </c>
      <c r="C106" s="14">
        <v>98.64</v>
      </c>
      <c r="D106" s="14">
        <v>3.15</v>
      </c>
      <c r="E106" s="14">
        <v>46.4</v>
      </c>
      <c r="F106" s="14">
        <v>16.200000000000003</v>
      </c>
      <c r="G106" s="14">
        <v>29.59</v>
      </c>
      <c r="H106" s="14">
        <v>25.04</v>
      </c>
      <c r="I106" s="14">
        <v>44.93</v>
      </c>
      <c r="J106" s="14">
        <v>71.069999999999993</v>
      </c>
      <c r="K106" s="14">
        <v>5.62</v>
      </c>
      <c r="L106" s="14">
        <v>36.849999999999994</v>
      </c>
      <c r="M106" s="14">
        <v>65.06</v>
      </c>
      <c r="N106" s="14">
        <v>30.480000000000004</v>
      </c>
      <c r="O106" s="14">
        <v>25.36</v>
      </c>
      <c r="P106" s="14">
        <v>43.779999999999994</v>
      </c>
      <c r="Q106" s="14">
        <v>119.38</v>
      </c>
      <c r="R106" s="14">
        <v>653.88</v>
      </c>
      <c r="S106" s="14">
        <v>424.78</v>
      </c>
      <c r="T106" s="14">
        <v>302.89</v>
      </c>
      <c r="U106" s="14">
        <v>248.51999999999998</v>
      </c>
      <c r="V106" s="14">
        <v>131.38</v>
      </c>
      <c r="W106" s="14">
        <v>343.18</v>
      </c>
      <c r="X106" s="14">
        <v>0.43000000000000005</v>
      </c>
      <c r="Y106" s="14">
        <f t="shared" si="28"/>
        <v>2924.9599999999996</v>
      </c>
      <c r="Z106" s="190">
        <f t="shared" si="29"/>
        <v>2.9492824373324365E-2</v>
      </c>
      <c r="AA106" s="91"/>
      <c r="AB106" s="14">
        <f t="shared" si="33"/>
        <v>2201.4499999999998</v>
      </c>
      <c r="AC106" s="14">
        <f t="shared" si="34"/>
        <v>723.07999999999993</v>
      </c>
      <c r="AD106" s="14">
        <f t="shared" si="35"/>
        <v>0.43000000000000005</v>
      </c>
      <c r="AE106" s="14">
        <v>0.9</v>
      </c>
      <c r="AF106" s="14">
        <f t="shared" si="30"/>
        <v>2925.8599999999997</v>
      </c>
      <c r="AG106" s="190">
        <f t="shared" si="31"/>
        <v>0.24713417593459702</v>
      </c>
    </row>
    <row r="107" spans="1:38" x14ac:dyDescent="0.25">
      <c r="A107" s="60" t="s">
        <v>53</v>
      </c>
      <c r="B107" s="61">
        <v>7.7099999999999991</v>
      </c>
      <c r="C107" s="61">
        <v>2.62</v>
      </c>
      <c r="D107" s="61"/>
      <c r="E107" s="61"/>
      <c r="F107" s="61">
        <v>5.98</v>
      </c>
      <c r="G107" s="61">
        <v>3.13</v>
      </c>
      <c r="H107" s="61">
        <v>2.1800000000000002</v>
      </c>
      <c r="I107" s="61"/>
      <c r="J107" s="61">
        <v>0.66</v>
      </c>
      <c r="K107" s="61">
        <v>0.34</v>
      </c>
      <c r="L107" s="61">
        <v>0.22</v>
      </c>
      <c r="M107" s="61">
        <v>1.9700000000000002</v>
      </c>
      <c r="N107" s="61">
        <v>0.1</v>
      </c>
      <c r="O107" s="61">
        <v>2.73</v>
      </c>
      <c r="P107" s="61">
        <v>4.16</v>
      </c>
      <c r="Q107" s="61">
        <v>9.02</v>
      </c>
      <c r="R107" s="61">
        <v>43.190000000000005</v>
      </c>
      <c r="S107" s="61">
        <v>85.780000000000015</v>
      </c>
      <c r="T107" s="61">
        <v>50.760000000000005</v>
      </c>
      <c r="U107" s="61">
        <v>152.33999999999997</v>
      </c>
      <c r="V107" s="61">
        <v>118.04</v>
      </c>
      <c r="W107" s="61">
        <v>106.88000000000001</v>
      </c>
      <c r="X107" s="61"/>
      <c r="Y107" s="61">
        <f t="shared" si="28"/>
        <v>597.81000000000006</v>
      </c>
      <c r="Z107" s="193">
        <f t="shared" si="29"/>
        <v>6.0278107524947494E-3</v>
      </c>
      <c r="AA107" s="168"/>
      <c r="AB107" s="61">
        <f t="shared" si="33"/>
        <v>220.55</v>
      </c>
      <c r="AC107" s="61">
        <f t="shared" si="34"/>
        <v>377.26</v>
      </c>
      <c r="AD107" s="61">
        <f t="shared" si="35"/>
        <v>0</v>
      </c>
      <c r="AE107" s="61"/>
      <c r="AF107" s="61">
        <f t="shared" si="30"/>
        <v>597.80999999999995</v>
      </c>
      <c r="AG107" s="193">
        <f t="shared" si="31"/>
        <v>0.63107007243103996</v>
      </c>
    </row>
    <row r="108" spans="1:38" x14ac:dyDescent="0.25">
      <c r="A108" s="13" t="s">
        <v>34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>
        <v>8.0399999999999991</v>
      </c>
      <c r="V108" s="14"/>
      <c r="W108" s="14">
        <v>7.27</v>
      </c>
      <c r="X108" s="14"/>
      <c r="Y108" s="14">
        <f t="shared" si="28"/>
        <v>15.309999999999999</v>
      </c>
      <c r="Z108" s="190">
        <f t="shared" si="29"/>
        <v>1.5437309951438517E-4</v>
      </c>
      <c r="AA108" s="91"/>
      <c r="AB108" s="14">
        <f t="shared" si="33"/>
        <v>0</v>
      </c>
      <c r="AC108" s="14">
        <f t="shared" si="34"/>
        <v>15.309999999999999</v>
      </c>
      <c r="AD108" s="14">
        <f t="shared" si="35"/>
        <v>0</v>
      </c>
      <c r="AE108" s="14"/>
      <c r="AF108" s="14">
        <f t="shared" si="30"/>
        <v>15.309999999999999</v>
      </c>
      <c r="AG108" s="190">
        <f t="shared" si="31"/>
        <v>1</v>
      </c>
      <c r="AI108" t="s">
        <v>286</v>
      </c>
    </row>
    <row r="109" spans="1:38" x14ac:dyDescent="0.25">
      <c r="A109" s="13" t="s">
        <v>35</v>
      </c>
      <c r="B109" s="14"/>
      <c r="C109" s="14"/>
      <c r="D109" s="14"/>
      <c r="E109" s="14"/>
      <c r="F109" s="14"/>
      <c r="G109" s="14">
        <v>0.24</v>
      </c>
      <c r="H109" s="14"/>
      <c r="I109" s="14"/>
      <c r="J109" s="14"/>
      <c r="K109" s="14"/>
      <c r="L109" s="14">
        <v>0.22</v>
      </c>
      <c r="M109" s="14"/>
      <c r="N109" s="14">
        <v>0.1</v>
      </c>
      <c r="O109" s="14"/>
      <c r="P109" s="14"/>
      <c r="Q109" s="14"/>
      <c r="R109" s="14"/>
      <c r="S109" s="14">
        <v>1.22</v>
      </c>
      <c r="T109" s="14"/>
      <c r="U109" s="14">
        <v>0.24</v>
      </c>
      <c r="V109" s="14"/>
      <c r="W109" s="14"/>
      <c r="X109" s="14"/>
      <c r="Y109" s="14">
        <f t="shared" si="28"/>
        <v>2.0199999999999996</v>
      </c>
      <c r="Z109" s="190">
        <f t="shared" si="29"/>
        <v>2.0367972633511302E-5</v>
      </c>
      <c r="AA109" s="91"/>
      <c r="AB109" s="14">
        <f t="shared" si="33"/>
        <v>1.7799999999999998</v>
      </c>
      <c r="AC109" s="14">
        <f t="shared" si="34"/>
        <v>0.24</v>
      </c>
      <c r="AD109" s="14">
        <f t="shared" si="35"/>
        <v>0</v>
      </c>
      <c r="AE109" s="14"/>
      <c r="AF109" s="14">
        <f t="shared" si="30"/>
        <v>2.0199999999999996</v>
      </c>
      <c r="AG109" s="190">
        <f t="shared" si="31"/>
        <v>0.11881188118811883</v>
      </c>
      <c r="AJ109" t="s">
        <v>288</v>
      </c>
      <c r="AK109" t="s">
        <v>103</v>
      </c>
      <c r="AL109" t="s">
        <v>287</v>
      </c>
    </row>
    <row r="110" spans="1:38" x14ac:dyDescent="0.25">
      <c r="A110" s="13" t="s">
        <v>36</v>
      </c>
      <c r="B110" s="14">
        <v>0.1</v>
      </c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>
        <v>12.66</v>
      </c>
      <c r="S110" s="14"/>
      <c r="T110" s="14"/>
      <c r="U110" s="14">
        <v>12.45</v>
      </c>
      <c r="V110" s="14">
        <v>1.05</v>
      </c>
      <c r="W110" s="14">
        <v>1.56</v>
      </c>
      <c r="X110" s="14"/>
      <c r="Y110" s="14">
        <f t="shared" si="28"/>
        <v>27.82</v>
      </c>
      <c r="Z110" s="190">
        <f t="shared" si="29"/>
        <v>2.8051336567538838E-4</v>
      </c>
      <c r="AA110" s="91"/>
      <c r="AB110" s="14">
        <f t="shared" si="33"/>
        <v>12.76</v>
      </c>
      <c r="AC110" s="14">
        <f t="shared" si="34"/>
        <v>15.06</v>
      </c>
      <c r="AD110" s="14">
        <f t="shared" si="35"/>
        <v>0</v>
      </c>
      <c r="AE110" s="14"/>
      <c r="AF110" s="14">
        <f t="shared" si="30"/>
        <v>27.82</v>
      </c>
      <c r="AG110" s="190">
        <f t="shared" si="31"/>
        <v>0.54133716750539185</v>
      </c>
      <c r="AI110" s="13" t="s">
        <v>18</v>
      </c>
      <c r="AJ110" s="162">
        <f>AC87</f>
        <v>3002.63</v>
      </c>
      <c r="AK110" s="162">
        <f>AF87</f>
        <v>8675.42</v>
      </c>
      <c r="AL110" s="249">
        <f>AJ110/AK110</f>
        <v>0.3461077388760429</v>
      </c>
    </row>
    <row r="111" spans="1:38" x14ac:dyDescent="0.25">
      <c r="A111" s="13" t="s">
        <v>37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>
        <v>0.14000000000000001</v>
      </c>
      <c r="U111" s="14">
        <v>1.1399999999999999</v>
      </c>
      <c r="V111" s="14">
        <v>8.06</v>
      </c>
      <c r="W111" s="14">
        <v>0.95</v>
      </c>
      <c r="X111" s="14"/>
      <c r="Y111" s="14">
        <f t="shared" si="28"/>
        <v>10.29</v>
      </c>
      <c r="Z111" s="190">
        <f t="shared" si="29"/>
        <v>1.0375566257367886E-4</v>
      </c>
      <c r="AA111" s="91"/>
      <c r="AB111" s="14">
        <f t="shared" si="33"/>
        <v>0.14000000000000001</v>
      </c>
      <c r="AC111" s="14">
        <f t="shared" si="34"/>
        <v>10.15</v>
      </c>
      <c r="AD111" s="14">
        <f t="shared" si="35"/>
        <v>0</v>
      </c>
      <c r="AE111" s="14"/>
      <c r="AF111" s="14">
        <f t="shared" si="30"/>
        <v>10.290000000000001</v>
      </c>
      <c r="AG111" s="190">
        <f t="shared" si="31"/>
        <v>0.98639455782312924</v>
      </c>
      <c r="AI111" s="13" t="s">
        <v>13</v>
      </c>
      <c r="AJ111" s="162">
        <f>AC82</f>
        <v>2618.4700000000003</v>
      </c>
      <c r="AK111" s="162">
        <f>AF82</f>
        <v>5783.8300000000008</v>
      </c>
      <c r="AL111" s="249">
        <f t="shared" ref="AL111:AL119" si="36">AJ111/AK111</f>
        <v>0.45272250394634694</v>
      </c>
    </row>
    <row r="112" spans="1:38" x14ac:dyDescent="0.25">
      <c r="A112" s="13" t="s">
        <v>38</v>
      </c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>
        <v>2.0299999999999998</v>
      </c>
      <c r="R112" s="14"/>
      <c r="S112" s="14"/>
      <c r="T112" s="14">
        <v>13.29</v>
      </c>
      <c r="U112" s="14">
        <v>25.34</v>
      </c>
      <c r="V112" s="14">
        <v>22.07</v>
      </c>
      <c r="W112" s="14"/>
      <c r="X112" s="14"/>
      <c r="Y112" s="14">
        <f t="shared" si="28"/>
        <v>62.73</v>
      </c>
      <c r="Z112" s="190">
        <f t="shared" si="29"/>
        <v>6.3251629866344756E-4</v>
      </c>
      <c r="AA112" s="91"/>
      <c r="AB112" s="14">
        <f t="shared" si="33"/>
        <v>15.319999999999999</v>
      </c>
      <c r="AC112" s="14">
        <f t="shared" si="34"/>
        <v>47.41</v>
      </c>
      <c r="AD112" s="14">
        <f t="shared" si="35"/>
        <v>0</v>
      </c>
      <c r="AE112" s="14"/>
      <c r="AF112" s="14">
        <f t="shared" si="30"/>
        <v>62.73</v>
      </c>
      <c r="AG112" s="190">
        <f t="shared" si="31"/>
        <v>0.75577873425793085</v>
      </c>
      <c r="AI112" s="13" t="s">
        <v>21</v>
      </c>
      <c r="AJ112" s="162">
        <f>AC91</f>
        <v>2569.98</v>
      </c>
      <c r="AK112" s="162">
        <f>AF91</f>
        <v>11568.959999999997</v>
      </c>
      <c r="AL112" s="249">
        <f t="shared" si="36"/>
        <v>0.2221444278483114</v>
      </c>
    </row>
    <row r="113" spans="1:38" x14ac:dyDescent="0.25">
      <c r="A113" s="13" t="s">
        <v>40</v>
      </c>
      <c r="B113" s="14">
        <v>6.78</v>
      </c>
      <c r="C113" s="14">
        <v>2.58</v>
      </c>
      <c r="D113" s="14"/>
      <c r="E113" s="14"/>
      <c r="F113" s="14">
        <v>5.98</v>
      </c>
      <c r="G113" s="14">
        <v>2.89</v>
      </c>
      <c r="H113" s="14"/>
      <c r="I113" s="14"/>
      <c r="J113" s="14"/>
      <c r="K113" s="14">
        <v>0.11</v>
      </c>
      <c r="L113" s="14"/>
      <c r="M113" s="14">
        <v>0.36</v>
      </c>
      <c r="N113" s="14"/>
      <c r="O113" s="14"/>
      <c r="P113" s="14"/>
      <c r="Q113" s="14"/>
      <c r="R113" s="14">
        <v>2.2599999999999998</v>
      </c>
      <c r="S113" s="14">
        <v>0.26</v>
      </c>
      <c r="T113" s="14">
        <v>2.3499999999999996</v>
      </c>
      <c r="U113" s="14">
        <v>54.829999999999991</v>
      </c>
      <c r="V113" s="14">
        <v>1.51</v>
      </c>
      <c r="W113" s="14"/>
      <c r="X113" s="14"/>
      <c r="Y113" s="14">
        <f t="shared" si="28"/>
        <v>79.91</v>
      </c>
      <c r="Z113" s="190">
        <f t="shared" si="29"/>
        <v>8.0574489759598436E-4</v>
      </c>
      <c r="AA113" s="91"/>
      <c r="AB113" s="14">
        <f t="shared" si="33"/>
        <v>23.57</v>
      </c>
      <c r="AC113" s="14">
        <f t="shared" si="34"/>
        <v>56.339999999999989</v>
      </c>
      <c r="AD113" s="14">
        <f t="shared" si="35"/>
        <v>0</v>
      </c>
      <c r="AE113" s="14"/>
      <c r="AF113" s="14">
        <f t="shared" si="30"/>
        <v>79.91</v>
      </c>
      <c r="AG113" s="190">
        <f t="shared" si="31"/>
        <v>0.70504317357026647</v>
      </c>
      <c r="AI113" s="13" t="s">
        <v>43</v>
      </c>
      <c r="AJ113" s="162">
        <f>AC119</f>
        <v>2411.52</v>
      </c>
      <c r="AK113" s="162">
        <f>AF119</f>
        <v>4798.8099999999995</v>
      </c>
      <c r="AL113" s="249">
        <f t="shared" si="36"/>
        <v>0.50252458421983792</v>
      </c>
    </row>
    <row r="114" spans="1:38" x14ac:dyDescent="0.25">
      <c r="A114" s="13" t="s">
        <v>41</v>
      </c>
      <c r="B114" s="14">
        <v>0.48</v>
      </c>
      <c r="C114" s="14">
        <v>0.04</v>
      </c>
      <c r="D114" s="14"/>
      <c r="E114" s="14"/>
      <c r="F114" s="14"/>
      <c r="G114" s="14"/>
      <c r="H114" s="14"/>
      <c r="I114" s="14"/>
      <c r="J114" s="14">
        <v>0.66</v>
      </c>
      <c r="K114" s="14">
        <v>0.23</v>
      </c>
      <c r="L114" s="14"/>
      <c r="M114" s="14">
        <v>1.61</v>
      </c>
      <c r="N114" s="14"/>
      <c r="O114" s="14"/>
      <c r="P114" s="14">
        <v>4.16</v>
      </c>
      <c r="Q114" s="14">
        <v>6.99</v>
      </c>
      <c r="R114" s="14">
        <v>24.57</v>
      </c>
      <c r="S114" s="14">
        <v>82.37</v>
      </c>
      <c r="T114" s="14">
        <v>32.74</v>
      </c>
      <c r="U114" s="14">
        <v>45.1</v>
      </c>
      <c r="V114" s="14">
        <v>77.190000000000012</v>
      </c>
      <c r="W114" s="14">
        <v>93.100000000000009</v>
      </c>
      <c r="X114" s="14"/>
      <c r="Y114" s="14">
        <f t="shared" si="28"/>
        <v>369.24000000000007</v>
      </c>
      <c r="Z114" s="190">
        <f t="shared" si="29"/>
        <v>3.7231040669295622E-3</v>
      </c>
      <c r="AA114" s="91"/>
      <c r="AB114" s="14">
        <f t="shared" si="33"/>
        <v>153.85000000000002</v>
      </c>
      <c r="AC114" s="14">
        <f t="shared" si="34"/>
        <v>215.39000000000004</v>
      </c>
      <c r="AD114" s="14">
        <f t="shared" si="35"/>
        <v>0</v>
      </c>
      <c r="AE114" s="14"/>
      <c r="AF114" s="14">
        <f t="shared" si="30"/>
        <v>369.24000000000007</v>
      </c>
      <c r="AG114" s="190">
        <f t="shared" si="31"/>
        <v>0.58333333333333337</v>
      </c>
      <c r="AI114" s="13" t="s">
        <v>29</v>
      </c>
      <c r="AJ114" s="162">
        <f>AC102</f>
        <v>2239.61</v>
      </c>
      <c r="AK114" s="162">
        <f>AF102</f>
        <v>12121.160000000003</v>
      </c>
      <c r="AL114" s="249">
        <f t="shared" si="36"/>
        <v>0.18476861950506382</v>
      </c>
    </row>
    <row r="115" spans="1:38" x14ac:dyDescent="0.25">
      <c r="A115" s="13" t="s">
        <v>42</v>
      </c>
      <c r="B115" s="14">
        <v>0.35</v>
      </c>
      <c r="C115" s="14"/>
      <c r="D115" s="14"/>
      <c r="E115" s="14"/>
      <c r="F115" s="14"/>
      <c r="G115" s="14"/>
      <c r="H115" s="14">
        <v>2.1800000000000002</v>
      </c>
      <c r="I115" s="14"/>
      <c r="J115" s="14"/>
      <c r="K115" s="14"/>
      <c r="L115" s="14"/>
      <c r="M115" s="14"/>
      <c r="N115" s="14"/>
      <c r="O115" s="14">
        <v>2.73</v>
      </c>
      <c r="P115" s="14"/>
      <c r="Q115" s="14"/>
      <c r="R115" s="14">
        <v>3.7</v>
      </c>
      <c r="S115" s="14">
        <v>1.9300000000000002</v>
      </c>
      <c r="T115" s="14">
        <v>2.2400000000000002</v>
      </c>
      <c r="U115" s="14">
        <v>5.2</v>
      </c>
      <c r="V115" s="14">
        <v>8.16</v>
      </c>
      <c r="W115" s="14">
        <v>4</v>
      </c>
      <c r="X115" s="14"/>
      <c r="Y115" s="14">
        <f t="shared" si="28"/>
        <v>30.490000000000002</v>
      </c>
      <c r="Z115" s="190">
        <f t="shared" si="29"/>
        <v>3.0743538890879194E-4</v>
      </c>
      <c r="AA115" s="91"/>
      <c r="AB115" s="14">
        <f t="shared" si="33"/>
        <v>13.13</v>
      </c>
      <c r="AC115" s="14">
        <f t="shared" si="34"/>
        <v>17.36</v>
      </c>
      <c r="AD115" s="14">
        <f t="shared" si="35"/>
        <v>0</v>
      </c>
      <c r="AE115" s="14"/>
      <c r="AF115" s="14">
        <f t="shared" si="30"/>
        <v>30.490000000000002</v>
      </c>
      <c r="AG115" s="190">
        <f t="shared" si="31"/>
        <v>0.56936700557559849</v>
      </c>
      <c r="AI115" s="13" t="s">
        <v>19</v>
      </c>
      <c r="AJ115" s="162">
        <f>AC89</f>
        <v>2173.13</v>
      </c>
      <c r="AK115" s="162">
        <f>AF89</f>
        <v>5777.84</v>
      </c>
      <c r="AL115" s="249">
        <f t="shared" si="36"/>
        <v>0.37611460338119435</v>
      </c>
    </row>
    <row r="116" spans="1:38" x14ac:dyDescent="0.25">
      <c r="A116" s="60" t="s">
        <v>75</v>
      </c>
      <c r="B116" s="61">
        <v>62.989999999999995</v>
      </c>
      <c r="C116" s="61">
        <v>18.669999999999998</v>
      </c>
      <c r="D116" s="61">
        <v>24.36</v>
      </c>
      <c r="E116" s="61">
        <v>3.65</v>
      </c>
      <c r="F116" s="61">
        <v>4.88</v>
      </c>
      <c r="G116" s="61">
        <v>10.53</v>
      </c>
      <c r="H116" s="61">
        <v>12.83</v>
      </c>
      <c r="I116" s="61">
        <v>16.71</v>
      </c>
      <c r="J116" s="61"/>
      <c r="K116" s="61"/>
      <c r="L116" s="61"/>
      <c r="M116" s="61">
        <v>1.29</v>
      </c>
      <c r="N116" s="61"/>
      <c r="O116" s="61"/>
      <c r="P116" s="61"/>
      <c r="Q116" s="61">
        <v>10.39</v>
      </c>
      <c r="R116" s="61">
        <v>50.06</v>
      </c>
      <c r="S116" s="61">
        <v>107.2</v>
      </c>
      <c r="T116" s="61">
        <v>26.27</v>
      </c>
      <c r="U116" s="61">
        <v>70.22</v>
      </c>
      <c r="V116" s="61">
        <v>7.92</v>
      </c>
      <c r="W116" s="61">
        <v>18.53</v>
      </c>
      <c r="X116" s="61">
        <v>0.04</v>
      </c>
      <c r="Y116" s="61">
        <f t="shared" si="28"/>
        <v>446.54</v>
      </c>
      <c r="Z116" s="193">
        <f t="shared" ref="Z116:Z129" si="37">Y116/$Y$129</f>
        <v>4.502531930578286E-3</v>
      </c>
      <c r="AA116" s="168"/>
      <c r="AB116" s="61">
        <f t="shared" si="33"/>
        <v>349.83</v>
      </c>
      <c r="AC116" s="61">
        <f t="shared" si="34"/>
        <v>96.67</v>
      </c>
      <c r="AD116" s="61">
        <f t="shared" si="35"/>
        <v>0.04</v>
      </c>
      <c r="AE116" s="61">
        <v>159.32</v>
      </c>
      <c r="AF116" s="61">
        <f t="shared" si="30"/>
        <v>605.86</v>
      </c>
      <c r="AG116" s="193">
        <f t="shared" si="31"/>
        <v>0.15955831380186841</v>
      </c>
      <c r="AI116" s="13" t="s">
        <v>27</v>
      </c>
      <c r="AJ116" s="162">
        <f>AC99</f>
        <v>2112.83</v>
      </c>
      <c r="AK116" s="162">
        <f>AF99</f>
        <v>7321.9100000000008</v>
      </c>
      <c r="AL116" s="249">
        <f t="shared" si="36"/>
        <v>0.28856268378059818</v>
      </c>
    </row>
    <row r="117" spans="1:38" x14ac:dyDescent="0.25">
      <c r="A117" s="13" t="s">
        <v>76</v>
      </c>
      <c r="B117" s="14">
        <v>62.989999999999995</v>
      </c>
      <c r="C117" s="14">
        <v>18.669999999999998</v>
      </c>
      <c r="D117" s="14">
        <v>24.36</v>
      </c>
      <c r="E117" s="14">
        <v>3.65</v>
      </c>
      <c r="F117" s="14">
        <v>4.88</v>
      </c>
      <c r="G117" s="14">
        <v>10.53</v>
      </c>
      <c r="H117" s="14">
        <v>12.83</v>
      </c>
      <c r="I117" s="14">
        <v>16.71</v>
      </c>
      <c r="J117" s="14"/>
      <c r="K117" s="14"/>
      <c r="L117" s="14"/>
      <c r="M117" s="14">
        <v>1.29</v>
      </c>
      <c r="N117" s="14"/>
      <c r="O117" s="14"/>
      <c r="P117" s="14"/>
      <c r="Q117" s="14">
        <v>10.39</v>
      </c>
      <c r="R117" s="14">
        <v>50.06</v>
      </c>
      <c r="S117" s="14">
        <v>107.2</v>
      </c>
      <c r="T117" s="14">
        <v>26.27</v>
      </c>
      <c r="U117" s="14">
        <v>70.22</v>
      </c>
      <c r="V117" s="14">
        <v>7.92</v>
      </c>
      <c r="W117" s="14">
        <v>18.53</v>
      </c>
      <c r="X117" s="14">
        <v>0.04</v>
      </c>
      <c r="Y117" s="14">
        <f t="shared" si="28"/>
        <v>446.54</v>
      </c>
      <c r="Z117" s="190">
        <f t="shared" si="37"/>
        <v>4.502531930578286E-3</v>
      </c>
      <c r="AA117" s="91"/>
      <c r="AB117" s="14">
        <f t="shared" si="33"/>
        <v>349.83</v>
      </c>
      <c r="AC117" s="14">
        <f t="shared" si="34"/>
        <v>96.67</v>
      </c>
      <c r="AD117" s="14">
        <f t="shared" si="35"/>
        <v>0.04</v>
      </c>
      <c r="AE117" s="14">
        <v>159.32</v>
      </c>
      <c r="AF117" s="14">
        <f t="shared" si="30"/>
        <v>605.86</v>
      </c>
      <c r="AG117" s="190">
        <f t="shared" si="31"/>
        <v>0.15955831380186841</v>
      </c>
      <c r="AI117" s="13" t="s">
        <v>30</v>
      </c>
      <c r="AJ117" s="162">
        <f>AC103</f>
        <v>1018.43</v>
      </c>
      <c r="AK117" s="162">
        <f>AF103</f>
        <v>3125.35</v>
      </c>
      <c r="AL117" s="249">
        <f t="shared" si="36"/>
        <v>0.32586110355640169</v>
      </c>
    </row>
    <row r="118" spans="1:38" x14ac:dyDescent="0.25">
      <c r="A118" s="60" t="s">
        <v>54</v>
      </c>
      <c r="B118" s="61">
        <v>72.740000000000009</v>
      </c>
      <c r="C118" s="61">
        <v>2.4300000000000002</v>
      </c>
      <c r="D118" s="61"/>
      <c r="E118" s="61">
        <v>0.26</v>
      </c>
      <c r="F118" s="61"/>
      <c r="G118" s="61"/>
      <c r="H118" s="61">
        <v>11.72</v>
      </c>
      <c r="I118" s="61">
        <v>178.53</v>
      </c>
      <c r="J118" s="61">
        <v>19.57</v>
      </c>
      <c r="K118" s="61">
        <v>43.400000000000006</v>
      </c>
      <c r="L118" s="61">
        <v>15.870000000000001</v>
      </c>
      <c r="M118" s="61">
        <v>132.42000000000002</v>
      </c>
      <c r="N118" s="61">
        <v>64.81</v>
      </c>
      <c r="O118" s="61">
        <v>51.230000000000004</v>
      </c>
      <c r="P118" s="61">
        <v>79.11</v>
      </c>
      <c r="Q118" s="61">
        <v>142.25</v>
      </c>
      <c r="R118" s="61">
        <v>782.95</v>
      </c>
      <c r="S118" s="61">
        <v>954.19999999999993</v>
      </c>
      <c r="T118" s="61">
        <v>1146.8899999999999</v>
      </c>
      <c r="U118" s="61">
        <v>1024.79</v>
      </c>
      <c r="V118" s="61">
        <v>967.12</v>
      </c>
      <c r="W118" s="61">
        <v>1238.67</v>
      </c>
      <c r="X118" s="61"/>
      <c r="Y118" s="61">
        <f t="shared" si="28"/>
        <v>6928.96</v>
      </c>
      <c r="Z118" s="193">
        <f t="shared" si="37"/>
        <v>6.9865776068660637E-2</v>
      </c>
      <c r="AA118" s="168"/>
      <c r="AB118" s="61">
        <f t="shared" si="33"/>
        <v>3698.3799999999997</v>
      </c>
      <c r="AC118" s="61">
        <f t="shared" si="34"/>
        <v>3230.58</v>
      </c>
      <c r="AD118" s="61">
        <f t="shared" si="35"/>
        <v>0</v>
      </c>
      <c r="AE118" s="61"/>
      <c r="AF118" s="61">
        <f t="shared" si="30"/>
        <v>6928.9599999999991</v>
      </c>
      <c r="AG118" s="193">
        <f t="shared" si="31"/>
        <v>0.46624313028217806</v>
      </c>
      <c r="AI118" s="13" t="s">
        <v>44</v>
      </c>
      <c r="AJ118" s="162">
        <f>AC120</f>
        <v>819.06</v>
      </c>
      <c r="AK118" s="162">
        <f>AF120</f>
        <v>2130.1499999999996</v>
      </c>
      <c r="AL118" s="249">
        <f t="shared" si="36"/>
        <v>0.38450813323005428</v>
      </c>
    </row>
    <row r="119" spans="1:38" x14ac:dyDescent="0.25">
      <c r="A119" s="13" t="s">
        <v>43</v>
      </c>
      <c r="B119" s="14">
        <v>71.040000000000006</v>
      </c>
      <c r="C119" s="14">
        <v>2.33</v>
      </c>
      <c r="D119" s="14"/>
      <c r="E119" s="14"/>
      <c r="F119" s="14"/>
      <c r="G119" s="14"/>
      <c r="H119" s="14">
        <v>7.2700000000000005</v>
      </c>
      <c r="I119" s="14">
        <v>178.32</v>
      </c>
      <c r="J119" s="14">
        <v>15.18</v>
      </c>
      <c r="K119" s="14">
        <v>14.620000000000001</v>
      </c>
      <c r="L119" s="14">
        <v>15.870000000000001</v>
      </c>
      <c r="M119" s="14">
        <v>70.55</v>
      </c>
      <c r="N119" s="14">
        <v>64.81</v>
      </c>
      <c r="O119" s="14">
        <v>16.830000000000002</v>
      </c>
      <c r="P119" s="14">
        <v>56.75</v>
      </c>
      <c r="Q119" s="14">
        <v>116.66000000000001</v>
      </c>
      <c r="R119" s="14">
        <v>443.15000000000003</v>
      </c>
      <c r="S119" s="14">
        <v>703.6099999999999</v>
      </c>
      <c r="T119" s="14">
        <v>610.29999999999995</v>
      </c>
      <c r="U119" s="14">
        <v>916.81</v>
      </c>
      <c r="V119" s="14">
        <v>473.22</v>
      </c>
      <c r="W119" s="14">
        <v>1021.49</v>
      </c>
      <c r="X119" s="14"/>
      <c r="Y119" s="14">
        <f t="shared" si="28"/>
        <v>4798.8099999999995</v>
      </c>
      <c r="Z119" s="190">
        <f t="shared" si="37"/>
        <v>4.838714393733682E-2</v>
      </c>
      <c r="AA119" s="91"/>
      <c r="AB119" s="14">
        <f t="shared" si="33"/>
        <v>2387.29</v>
      </c>
      <c r="AC119" s="14">
        <f t="shared" si="34"/>
        <v>2411.52</v>
      </c>
      <c r="AD119" s="14">
        <f t="shared" si="35"/>
        <v>0</v>
      </c>
      <c r="AE119" s="14"/>
      <c r="AF119" s="14">
        <f t="shared" si="30"/>
        <v>4798.8099999999995</v>
      </c>
      <c r="AG119" s="190">
        <f t="shared" si="31"/>
        <v>0.50252458421983792</v>
      </c>
      <c r="AI119" s="13" t="s">
        <v>14</v>
      </c>
      <c r="AJ119" s="162">
        <f>AC83</f>
        <v>808.36</v>
      </c>
      <c r="AK119" s="162">
        <f>AF83</f>
        <v>6624.67</v>
      </c>
      <c r="AL119" s="249">
        <f t="shared" si="36"/>
        <v>0.12202268188453161</v>
      </c>
    </row>
    <row r="120" spans="1:38" x14ac:dyDescent="0.25">
      <c r="A120" s="13" t="s">
        <v>44</v>
      </c>
      <c r="B120" s="14">
        <v>1.7</v>
      </c>
      <c r="C120" s="14">
        <v>0.1</v>
      </c>
      <c r="D120" s="14"/>
      <c r="E120" s="14">
        <v>0.26</v>
      </c>
      <c r="F120" s="14"/>
      <c r="G120" s="14"/>
      <c r="H120" s="14">
        <v>4.45</v>
      </c>
      <c r="I120" s="14">
        <v>0.21</v>
      </c>
      <c r="J120" s="14">
        <v>4.3900000000000006</v>
      </c>
      <c r="K120" s="14">
        <v>28.78</v>
      </c>
      <c r="L120" s="14"/>
      <c r="M120" s="14">
        <v>61.870000000000005</v>
      </c>
      <c r="N120" s="14"/>
      <c r="O120" s="14">
        <v>34.4</v>
      </c>
      <c r="P120" s="14">
        <v>22.36</v>
      </c>
      <c r="Q120" s="14">
        <v>25.59</v>
      </c>
      <c r="R120" s="14">
        <v>339.8</v>
      </c>
      <c r="S120" s="14">
        <v>250.59000000000003</v>
      </c>
      <c r="T120" s="14">
        <v>536.58999999999992</v>
      </c>
      <c r="U120" s="14">
        <v>107.98</v>
      </c>
      <c r="V120" s="14">
        <v>493.9</v>
      </c>
      <c r="W120" s="14">
        <v>217.18</v>
      </c>
      <c r="X120" s="14"/>
      <c r="Y120" s="14">
        <f t="shared" si="28"/>
        <v>2130.1499999999996</v>
      </c>
      <c r="Z120" s="190">
        <f t="shared" si="37"/>
        <v>2.147863213132381E-2</v>
      </c>
      <c r="AA120" s="91"/>
      <c r="AB120" s="14">
        <f t="shared" si="33"/>
        <v>1311.09</v>
      </c>
      <c r="AC120" s="14">
        <f t="shared" si="34"/>
        <v>819.06</v>
      </c>
      <c r="AD120" s="14">
        <f t="shared" si="35"/>
        <v>0</v>
      </c>
      <c r="AE120" s="14"/>
      <c r="AF120" s="14">
        <f t="shared" si="30"/>
        <v>2130.1499999999996</v>
      </c>
      <c r="AG120" s="190">
        <f t="shared" si="31"/>
        <v>0.38450813323005428</v>
      </c>
    </row>
    <row r="121" spans="1:38" x14ac:dyDescent="0.25">
      <c r="A121" s="60" t="s">
        <v>55</v>
      </c>
      <c r="B121" s="61">
        <v>148.42000000000002</v>
      </c>
      <c r="C121" s="61">
        <v>31.18</v>
      </c>
      <c r="D121" s="61">
        <v>1.2</v>
      </c>
      <c r="E121" s="61">
        <v>1.34</v>
      </c>
      <c r="F121" s="61">
        <v>21.58</v>
      </c>
      <c r="G121" s="61">
        <v>12.28</v>
      </c>
      <c r="H121" s="61">
        <v>17.100000000000001</v>
      </c>
      <c r="I121" s="61">
        <v>12.29</v>
      </c>
      <c r="J121" s="61">
        <v>16.100000000000001</v>
      </c>
      <c r="K121" s="61">
        <v>6.120000000000001</v>
      </c>
      <c r="L121" s="61">
        <v>8.64</v>
      </c>
      <c r="M121" s="61">
        <v>13.93</v>
      </c>
      <c r="N121" s="61">
        <v>18.78</v>
      </c>
      <c r="O121" s="61">
        <v>9.9</v>
      </c>
      <c r="P121" s="61">
        <v>33.879999999999995</v>
      </c>
      <c r="Q121" s="61">
        <v>31.68</v>
      </c>
      <c r="R121" s="61">
        <v>61.89</v>
      </c>
      <c r="S121" s="61">
        <v>43.810000000000009</v>
      </c>
      <c r="T121" s="61">
        <v>50.32</v>
      </c>
      <c r="U121" s="61">
        <v>63.94</v>
      </c>
      <c r="V121" s="61">
        <v>77.3</v>
      </c>
      <c r="W121" s="61">
        <v>87.12</v>
      </c>
      <c r="X121" s="61">
        <v>5.01</v>
      </c>
      <c r="Y121" s="61">
        <f t="shared" si="28"/>
        <v>773.81000000000006</v>
      </c>
      <c r="Z121" s="193">
        <f t="shared" si="37"/>
        <v>7.8024459918501904E-3</v>
      </c>
      <c r="AA121" s="168"/>
      <c r="AB121" s="61">
        <f t="shared" si="33"/>
        <v>540.44000000000005</v>
      </c>
      <c r="AC121" s="61">
        <f t="shared" si="34"/>
        <v>228.36</v>
      </c>
      <c r="AD121" s="61">
        <f t="shared" si="35"/>
        <v>5.01</v>
      </c>
      <c r="AE121" s="61"/>
      <c r="AF121" s="61">
        <f t="shared" si="30"/>
        <v>773.81000000000006</v>
      </c>
      <c r="AG121" s="193">
        <f t="shared" si="31"/>
        <v>0.29511120300849047</v>
      </c>
    </row>
    <row r="122" spans="1:38" x14ac:dyDescent="0.25">
      <c r="A122" s="13" t="s">
        <v>45</v>
      </c>
      <c r="B122" s="14">
        <v>148.42000000000002</v>
      </c>
      <c r="C122" s="14">
        <v>31.18</v>
      </c>
      <c r="D122" s="14">
        <v>1.2</v>
      </c>
      <c r="E122" s="14">
        <v>1.34</v>
      </c>
      <c r="F122" s="14">
        <v>21.58</v>
      </c>
      <c r="G122" s="14">
        <v>12.28</v>
      </c>
      <c r="H122" s="14">
        <v>17.100000000000001</v>
      </c>
      <c r="I122" s="14">
        <v>12.29</v>
      </c>
      <c r="J122" s="14">
        <v>16.100000000000001</v>
      </c>
      <c r="K122" s="14">
        <v>6.120000000000001</v>
      </c>
      <c r="L122" s="14">
        <v>8.64</v>
      </c>
      <c r="M122" s="14">
        <v>13.93</v>
      </c>
      <c r="N122" s="14">
        <v>18.78</v>
      </c>
      <c r="O122" s="14">
        <v>9.9</v>
      </c>
      <c r="P122" s="14">
        <v>33.879999999999995</v>
      </c>
      <c r="Q122" s="14">
        <v>31.68</v>
      </c>
      <c r="R122" s="14">
        <v>61.89</v>
      </c>
      <c r="S122" s="14">
        <v>43.810000000000009</v>
      </c>
      <c r="T122" s="14">
        <v>50.32</v>
      </c>
      <c r="U122" s="14">
        <v>63.94</v>
      </c>
      <c r="V122" s="14">
        <v>77.3</v>
      </c>
      <c r="W122" s="14">
        <v>87.12</v>
      </c>
      <c r="X122" s="14">
        <v>5.01</v>
      </c>
      <c r="Y122" s="14">
        <f t="shared" si="28"/>
        <v>773.81000000000006</v>
      </c>
      <c r="Z122" s="190">
        <f t="shared" si="37"/>
        <v>7.8024459918501904E-3</v>
      </c>
      <c r="AA122" s="91"/>
      <c r="AB122" s="14">
        <f t="shared" si="33"/>
        <v>540.44000000000005</v>
      </c>
      <c r="AC122" s="14">
        <f t="shared" si="34"/>
        <v>228.36</v>
      </c>
      <c r="AD122" s="14">
        <f t="shared" si="35"/>
        <v>5.01</v>
      </c>
      <c r="AE122" s="14"/>
      <c r="AF122" s="14">
        <f t="shared" si="30"/>
        <v>773.81000000000006</v>
      </c>
      <c r="AG122" s="190">
        <f t="shared" si="31"/>
        <v>0.29511120300849047</v>
      </c>
    </row>
    <row r="123" spans="1:38" x14ac:dyDescent="0.25">
      <c r="A123" s="60" t="s">
        <v>80</v>
      </c>
      <c r="B123" s="61"/>
      <c r="C123" s="61"/>
      <c r="D123" s="61"/>
      <c r="E123" s="61"/>
      <c r="F123" s="61"/>
      <c r="G123" s="61">
        <v>0.19</v>
      </c>
      <c r="H123" s="61"/>
      <c r="I123" s="61"/>
      <c r="J123" s="61"/>
      <c r="K123" s="61"/>
      <c r="L123" s="61"/>
      <c r="M123" s="61"/>
      <c r="N123" s="61"/>
      <c r="O123" s="61"/>
      <c r="P123" s="61"/>
      <c r="Q123" s="61">
        <v>0.34</v>
      </c>
      <c r="R123" s="61">
        <v>1.94</v>
      </c>
      <c r="S123" s="61">
        <v>6.92</v>
      </c>
      <c r="T123" s="61">
        <v>3.32</v>
      </c>
      <c r="U123" s="61">
        <v>11.47</v>
      </c>
      <c r="V123" s="61">
        <v>23.92</v>
      </c>
      <c r="W123" s="61">
        <v>11.07</v>
      </c>
      <c r="X123" s="61">
        <v>0.16</v>
      </c>
      <c r="Y123" s="61">
        <f t="shared" si="28"/>
        <v>59.33</v>
      </c>
      <c r="Z123" s="193">
        <f t="shared" si="37"/>
        <v>5.9823357244862658E-4</v>
      </c>
      <c r="AA123" s="168"/>
      <c r="AB123" s="61">
        <f t="shared" si="33"/>
        <v>12.71</v>
      </c>
      <c r="AC123" s="61">
        <f t="shared" si="34"/>
        <v>46.46</v>
      </c>
      <c r="AD123" s="61">
        <f t="shared" si="35"/>
        <v>0.16</v>
      </c>
      <c r="AE123" s="61"/>
      <c r="AF123" s="61">
        <f t="shared" si="30"/>
        <v>59.33</v>
      </c>
      <c r="AG123" s="193">
        <f t="shared" si="31"/>
        <v>0.78307770099443796</v>
      </c>
    </row>
    <row r="124" spans="1:38" x14ac:dyDescent="0.25">
      <c r="A124" s="13" t="s">
        <v>81</v>
      </c>
      <c r="B124" s="14"/>
      <c r="C124" s="14"/>
      <c r="D124" s="14"/>
      <c r="E124" s="14"/>
      <c r="F124" s="14"/>
      <c r="G124" s="14">
        <v>0.19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>
        <v>0.34</v>
      </c>
      <c r="R124" s="14">
        <v>1.94</v>
      </c>
      <c r="S124" s="14">
        <v>6.92</v>
      </c>
      <c r="T124" s="14">
        <v>3.32</v>
      </c>
      <c r="U124" s="14">
        <v>11.47</v>
      </c>
      <c r="V124" s="14">
        <v>23.92</v>
      </c>
      <c r="W124" s="14">
        <v>11.07</v>
      </c>
      <c r="X124" s="14">
        <v>0.16</v>
      </c>
      <c r="Y124" s="14">
        <f t="shared" si="28"/>
        <v>59.33</v>
      </c>
      <c r="Z124" s="190">
        <f t="shared" si="37"/>
        <v>5.9823357244862658E-4</v>
      </c>
      <c r="AA124" s="91"/>
      <c r="AB124" s="14">
        <f t="shared" si="33"/>
        <v>12.71</v>
      </c>
      <c r="AC124" s="14">
        <f t="shared" si="34"/>
        <v>46.46</v>
      </c>
      <c r="AD124" s="14">
        <f t="shared" si="35"/>
        <v>0.16</v>
      </c>
      <c r="AE124" s="14"/>
      <c r="AF124" s="14">
        <f t="shared" si="30"/>
        <v>59.33</v>
      </c>
      <c r="AG124" s="190">
        <f t="shared" si="31"/>
        <v>0.78307770099443796</v>
      </c>
    </row>
    <row r="125" spans="1:38" x14ac:dyDescent="0.25">
      <c r="A125" s="60" t="s">
        <v>56</v>
      </c>
      <c r="B125" s="61">
        <v>2593.3500000000008</v>
      </c>
      <c r="C125" s="61">
        <v>411.57</v>
      </c>
      <c r="D125" s="61">
        <v>62.41</v>
      </c>
      <c r="E125" s="61">
        <v>82.93</v>
      </c>
      <c r="F125" s="61">
        <v>101.42999999999999</v>
      </c>
      <c r="G125" s="61">
        <v>70.78</v>
      </c>
      <c r="H125" s="61">
        <v>125.41</v>
      </c>
      <c r="I125" s="61">
        <v>12.94</v>
      </c>
      <c r="J125" s="61">
        <v>123.55000000000001</v>
      </c>
      <c r="K125" s="61">
        <v>84.97999999999999</v>
      </c>
      <c r="L125" s="61">
        <v>136.26</v>
      </c>
      <c r="M125" s="61">
        <v>137.46</v>
      </c>
      <c r="N125" s="61">
        <v>73.42</v>
      </c>
      <c r="O125" s="61">
        <v>235.10999999999996</v>
      </c>
      <c r="P125" s="61">
        <v>106.38999999999999</v>
      </c>
      <c r="Q125" s="61">
        <v>156.15</v>
      </c>
      <c r="R125" s="61">
        <v>536.49</v>
      </c>
      <c r="S125" s="61">
        <v>533.12</v>
      </c>
      <c r="T125" s="61">
        <v>320.90999999999997</v>
      </c>
      <c r="U125" s="61">
        <v>298.77999999999997</v>
      </c>
      <c r="V125" s="61">
        <v>228.53</v>
      </c>
      <c r="W125" s="61">
        <v>214.57999999999998</v>
      </c>
      <c r="X125" s="61">
        <v>149.30000000000001</v>
      </c>
      <c r="Y125" s="61">
        <f t="shared" si="28"/>
        <v>6795.8499999999995</v>
      </c>
      <c r="Z125" s="193">
        <f t="shared" si="37"/>
        <v>6.8523607337350398E-2</v>
      </c>
      <c r="AA125" s="168"/>
      <c r="AB125" s="61">
        <f t="shared" si="33"/>
        <v>5904.66</v>
      </c>
      <c r="AC125" s="61">
        <f t="shared" si="34"/>
        <v>741.88999999999987</v>
      </c>
      <c r="AD125" s="61">
        <f t="shared" si="35"/>
        <v>149.30000000000001</v>
      </c>
      <c r="AE125" s="61"/>
      <c r="AF125" s="61">
        <f t="shared" si="30"/>
        <v>6795.8499999999995</v>
      </c>
      <c r="AG125" s="193">
        <f t="shared" si="31"/>
        <v>0.10916809523459169</v>
      </c>
    </row>
    <row r="126" spans="1:38" x14ac:dyDescent="0.25">
      <c r="A126" s="13" t="s">
        <v>46</v>
      </c>
      <c r="B126" s="14">
        <v>2593.3500000000008</v>
      </c>
      <c r="C126" s="14">
        <v>411.57</v>
      </c>
      <c r="D126" s="14">
        <v>62.41</v>
      </c>
      <c r="E126" s="14">
        <v>82.93</v>
      </c>
      <c r="F126" s="14">
        <v>101.42999999999999</v>
      </c>
      <c r="G126" s="14">
        <v>70.78</v>
      </c>
      <c r="H126" s="14">
        <v>125.41</v>
      </c>
      <c r="I126" s="14">
        <v>12.94</v>
      </c>
      <c r="J126" s="14">
        <v>123.55000000000001</v>
      </c>
      <c r="K126" s="14">
        <v>84.97999999999999</v>
      </c>
      <c r="L126" s="14">
        <v>136.26</v>
      </c>
      <c r="M126" s="14">
        <v>137.46</v>
      </c>
      <c r="N126" s="14">
        <v>73.42</v>
      </c>
      <c r="O126" s="14">
        <v>235.10999999999996</v>
      </c>
      <c r="P126" s="14">
        <v>106.38999999999999</v>
      </c>
      <c r="Q126" s="14">
        <v>156.15</v>
      </c>
      <c r="R126" s="14">
        <v>536.49</v>
      </c>
      <c r="S126" s="14">
        <v>533.12</v>
      </c>
      <c r="T126" s="14">
        <v>320.90999999999997</v>
      </c>
      <c r="U126" s="14">
        <v>298.77999999999997</v>
      </c>
      <c r="V126" s="14">
        <v>228.53</v>
      </c>
      <c r="W126" s="14">
        <v>214.57999999999998</v>
      </c>
      <c r="X126" s="14">
        <v>149.30000000000001</v>
      </c>
      <c r="Y126" s="14">
        <f t="shared" si="28"/>
        <v>6795.8499999999995</v>
      </c>
      <c r="Z126" s="190">
        <f t="shared" si="37"/>
        <v>6.8523607337350398E-2</v>
      </c>
      <c r="AA126" s="91"/>
      <c r="AB126" s="14">
        <f t="shared" si="33"/>
        <v>5904.66</v>
      </c>
      <c r="AC126" s="14">
        <f t="shared" si="34"/>
        <v>741.88999999999987</v>
      </c>
      <c r="AD126" s="14">
        <f t="shared" si="35"/>
        <v>149.30000000000001</v>
      </c>
      <c r="AE126" s="14"/>
      <c r="AF126" s="14">
        <f t="shared" si="30"/>
        <v>6795.8499999999995</v>
      </c>
      <c r="AG126" s="190">
        <f t="shared" si="31"/>
        <v>0.10916809523459169</v>
      </c>
    </row>
    <row r="127" spans="1:38" x14ac:dyDescent="0.25">
      <c r="A127" s="60" t="s">
        <v>57</v>
      </c>
      <c r="B127" s="61">
        <v>456.96000000000021</v>
      </c>
      <c r="C127" s="61">
        <v>42.230000000000004</v>
      </c>
      <c r="D127" s="61">
        <v>6.29</v>
      </c>
      <c r="E127" s="61">
        <v>5.2099999999999991</v>
      </c>
      <c r="F127" s="61">
        <v>10.940000000000001</v>
      </c>
      <c r="G127" s="61">
        <v>23.039999999999996</v>
      </c>
      <c r="H127" s="61">
        <v>10</v>
      </c>
      <c r="I127" s="61">
        <v>12.46</v>
      </c>
      <c r="J127" s="61">
        <v>13.690000000000001</v>
      </c>
      <c r="K127" s="61">
        <v>66.999999999999986</v>
      </c>
      <c r="L127" s="61">
        <v>32.410000000000004</v>
      </c>
      <c r="M127" s="61">
        <v>35.44</v>
      </c>
      <c r="N127" s="61">
        <v>10.37</v>
      </c>
      <c r="O127" s="61">
        <v>18.509999999999998</v>
      </c>
      <c r="P127" s="61">
        <v>21.22</v>
      </c>
      <c r="Q127" s="61">
        <v>78.45</v>
      </c>
      <c r="R127" s="61">
        <v>107.05000000000001</v>
      </c>
      <c r="S127" s="61">
        <v>178.45999999999998</v>
      </c>
      <c r="T127" s="61">
        <v>169.37999999999997</v>
      </c>
      <c r="U127" s="61">
        <v>105.65</v>
      </c>
      <c r="V127" s="61">
        <v>137.58000000000001</v>
      </c>
      <c r="W127" s="61">
        <v>148.90000000000003</v>
      </c>
      <c r="X127" s="61">
        <v>3.1100000000000003</v>
      </c>
      <c r="Y127" s="61">
        <f t="shared" si="28"/>
        <v>1694.3500000000004</v>
      </c>
      <c r="Z127" s="193">
        <f t="shared" si="37"/>
        <v>1.708439328296529E-2</v>
      </c>
      <c r="AA127" s="168"/>
      <c r="AB127" s="61">
        <f t="shared" si="33"/>
        <v>1299.1100000000004</v>
      </c>
      <c r="AC127" s="61">
        <f t="shared" si="34"/>
        <v>392.13000000000005</v>
      </c>
      <c r="AD127" s="61">
        <f t="shared" si="35"/>
        <v>3.1100000000000003</v>
      </c>
      <c r="AE127" s="61">
        <v>0.59</v>
      </c>
      <c r="AF127" s="61">
        <f t="shared" si="30"/>
        <v>1694.9400000000003</v>
      </c>
      <c r="AG127" s="193">
        <f t="shared" si="31"/>
        <v>0.23135332224149527</v>
      </c>
    </row>
    <row r="128" spans="1:38" x14ac:dyDescent="0.25">
      <c r="A128" s="13" t="s">
        <v>47</v>
      </c>
      <c r="B128" s="14">
        <v>456.96000000000021</v>
      </c>
      <c r="C128" s="14">
        <v>42.230000000000004</v>
      </c>
      <c r="D128" s="14">
        <v>6.29</v>
      </c>
      <c r="E128" s="14">
        <v>5.2099999999999991</v>
      </c>
      <c r="F128" s="14">
        <v>10.940000000000001</v>
      </c>
      <c r="G128" s="14">
        <v>23.039999999999996</v>
      </c>
      <c r="H128" s="14">
        <v>10</v>
      </c>
      <c r="I128" s="14">
        <v>12.46</v>
      </c>
      <c r="J128" s="14">
        <v>13.690000000000001</v>
      </c>
      <c r="K128" s="14">
        <v>66.999999999999986</v>
      </c>
      <c r="L128" s="14">
        <v>32.410000000000004</v>
      </c>
      <c r="M128" s="14">
        <v>35.44</v>
      </c>
      <c r="N128" s="14">
        <v>10.37</v>
      </c>
      <c r="O128" s="14">
        <v>18.509999999999998</v>
      </c>
      <c r="P128" s="14">
        <v>21.22</v>
      </c>
      <c r="Q128" s="14">
        <v>78.45</v>
      </c>
      <c r="R128" s="14">
        <v>107.05000000000001</v>
      </c>
      <c r="S128" s="14">
        <v>178.45999999999998</v>
      </c>
      <c r="T128" s="14">
        <v>169.37999999999997</v>
      </c>
      <c r="U128" s="14">
        <v>105.65</v>
      </c>
      <c r="V128" s="14">
        <v>137.58000000000001</v>
      </c>
      <c r="W128" s="14">
        <v>148.90000000000003</v>
      </c>
      <c r="X128" s="14">
        <v>3.1100000000000003</v>
      </c>
      <c r="Y128" s="14">
        <f t="shared" si="28"/>
        <v>1694.3500000000004</v>
      </c>
      <c r="Z128" s="190">
        <f t="shared" si="37"/>
        <v>1.708439328296529E-2</v>
      </c>
      <c r="AA128" s="91"/>
      <c r="AB128" s="14">
        <f t="shared" si="33"/>
        <v>1299.1100000000004</v>
      </c>
      <c r="AC128" s="14">
        <f t="shared" si="34"/>
        <v>392.13000000000005</v>
      </c>
      <c r="AD128" s="14">
        <f t="shared" si="35"/>
        <v>3.1100000000000003</v>
      </c>
      <c r="AE128" s="14">
        <v>0.59</v>
      </c>
      <c r="AF128" s="14">
        <f t="shared" si="30"/>
        <v>1694.9400000000003</v>
      </c>
      <c r="AG128" s="190">
        <f t="shared" si="31"/>
        <v>0.23135332224149527</v>
      </c>
    </row>
    <row r="129" spans="1:33" x14ac:dyDescent="0.25">
      <c r="A129" s="80" t="s">
        <v>59</v>
      </c>
      <c r="B129" s="64">
        <f>SUM(B127,B125,B123,B121,B118,B116,B107,B101,B96,B92,B88,B79)</f>
        <v>14998.79</v>
      </c>
      <c r="C129" s="64">
        <f t="shared" ref="C129:X129" si="38">SUM(C127,C125,C123,C121,C118,C116,C107,C101,C96,C92,C88,C79)</f>
        <v>3049.0099999999993</v>
      </c>
      <c r="D129" s="64">
        <f t="shared" si="38"/>
        <v>526.66999999999996</v>
      </c>
      <c r="E129" s="64">
        <f t="shared" si="38"/>
        <v>487.08</v>
      </c>
      <c r="F129" s="64">
        <f t="shared" si="38"/>
        <v>606.01</v>
      </c>
      <c r="G129" s="64">
        <f t="shared" si="38"/>
        <v>774.28</v>
      </c>
      <c r="H129" s="64">
        <f t="shared" si="38"/>
        <v>1221.3000000000002</v>
      </c>
      <c r="I129" s="64">
        <f t="shared" si="38"/>
        <v>989.62000000000012</v>
      </c>
      <c r="J129" s="64">
        <f t="shared" si="38"/>
        <v>1316.5900000000001</v>
      </c>
      <c r="K129" s="64">
        <f t="shared" si="38"/>
        <v>1552.43</v>
      </c>
      <c r="L129" s="64">
        <f t="shared" si="38"/>
        <v>1241.7300000000002</v>
      </c>
      <c r="M129" s="64">
        <f t="shared" si="38"/>
        <v>1429.5800000000002</v>
      </c>
      <c r="N129" s="64">
        <f t="shared" si="38"/>
        <v>1122.6399999999999</v>
      </c>
      <c r="O129" s="64">
        <f t="shared" si="38"/>
        <v>1485.38</v>
      </c>
      <c r="P129" s="64">
        <f t="shared" si="38"/>
        <v>2066.83</v>
      </c>
      <c r="Q129" s="64">
        <f t="shared" si="38"/>
        <v>3602.13</v>
      </c>
      <c r="R129" s="64">
        <f t="shared" si="38"/>
        <v>8307.17</v>
      </c>
      <c r="S129" s="64">
        <f t="shared" si="38"/>
        <v>13756.07</v>
      </c>
      <c r="T129" s="64">
        <f t="shared" si="38"/>
        <v>14117.949999999999</v>
      </c>
      <c r="U129" s="64">
        <f t="shared" si="38"/>
        <v>8593.89</v>
      </c>
      <c r="V129" s="64">
        <f t="shared" si="38"/>
        <v>8144.51</v>
      </c>
      <c r="W129" s="64">
        <f t="shared" si="38"/>
        <v>9363.0700000000015</v>
      </c>
      <c r="X129" s="64">
        <f t="shared" si="38"/>
        <v>422.58</v>
      </c>
      <c r="Y129" s="64">
        <f t="shared" si="28"/>
        <v>99175.31</v>
      </c>
      <c r="Z129" s="194">
        <f t="shared" si="37"/>
        <v>1</v>
      </c>
      <c r="AA129" s="187"/>
      <c r="AB129" s="64">
        <f t="shared" ref="AB129:AF129" si="39">SUM(AB127,AB125,AB123,AB121,AB118,AB116,AB107,AB101,AB96,AB92,AB88,AB79)</f>
        <v>72651.259999999995</v>
      </c>
      <c r="AC129" s="64">
        <f t="shared" si="39"/>
        <v>26101.47</v>
      </c>
      <c r="AD129" s="64">
        <f t="shared" si="39"/>
        <v>422.58</v>
      </c>
      <c r="AE129" s="64">
        <f t="shared" si="39"/>
        <v>302.69000000000005</v>
      </c>
      <c r="AF129" s="64">
        <f t="shared" si="39"/>
        <v>99477.999999999985</v>
      </c>
      <c r="AG129" s="194">
        <f t="shared" si="31"/>
        <v>0.26238434628762142</v>
      </c>
    </row>
    <row r="130" spans="1:33" x14ac:dyDescent="0.25">
      <c r="A130" s="248" t="s">
        <v>284</v>
      </c>
      <c r="B130" s="158"/>
      <c r="C130" s="158">
        <f>C129+B129</f>
        <v>18047.8</v>
      </c>
      <c r="D130" s="158">
        <f>D129+C130</f>
        <v>18574.469999999998</v>
      </c>
      <c r="E130" s="158">
        <f t="shared" ref="E130" si="40">E129+D130</f>
        <v>19061.55</v>
      </c>
      <c r="F130" s="158">
        <f t="shared" ref="F130" si="41">F129+E130</f>
        <v>19667.559999999998</v>
      </c>
      <c r="G130" s="158">
        <f t="shared" ref="G130" si="42">G129+F130</f>
        <v>20441.839999999997</v>
      </c>
      <c r="H130" s="158">
        <f t="shared" ref="H130" si="43">H129+G130</f>
        <v>21663.139999999996</v>
      </c>
      <c r="I130" s="158">
        <f t="shared" ref="I130" si="44">I129+H130</f>
        <v>22652.759999999995</v>
      </c>
      <c r="J130" s="158">
        <f t="shared" ref="J130" si="45">J129+I130</f>
        <v>23969.349999999995</v>
      </c>
      <c r="K130" s="158">
        <f t="shared" ref="K130" si="46">K129+J130</f>
        <v>25521.779999999995</v>
      </c>
      <c r="L130" s="158">
        <f t="shared" ref="L130" si="47">L129+K130</f>
        <v>26763.509999999995</v>
      </c>
      <c r="M130" s="158">
        <f t="shared" ref="M130" si="48">M129+L130</f>
        <v>28193.089999999997</v>
      </c>
      <c r="N130" s="158">
        <f t="shared" ref="N130" si="49">N129+M130</f>
        <v>29315.729999999996</v>
      </c>
      <c r="O130" s="158">
        <f t="shared" ref="O130" si="50">O129+N130</f>
        <v>30801.109999999997</v>
      </c>
      <c r="P130" s="158">
        <f t="shared" ref="P130" si="51">P129+O130</f>
        <v>32867.939999999995</v>
      </c>
      <c r="Q130" s="158">
        <f t="shared" ref="Q130" si="52">Q129+P130</f>
        <v>36470.069999999992</v>
      </c>
      <c r="R130" s="158">
        <f t="shared" ref="R130" si="53">R129+Q130</f>
        <v>44777.239999999991</v>
      </c>
      <c r="S130" s="158">
        <f t="shared" ref="S130" si="54">S129+R130</f>
        <v>58533.30999999999</v>
      </c>
      <c r="T130" s="158">
        <f t="shared" ref="T130" si="55">T129+S130</f>
        <v>72651.259999999995</v>
      </c>
      <c r="U130" s="158">
        <f t="shared" ref="U130" si="56">U129+T130</f>
        <v>81245.149999999994</v>
      </c>
      <c r="V130" s="158">
        <f t="shared" ref="V130" si="57">V129+U130</f>
        <v>89389.659999999989</v>
      </c>
      <c r="W130" s="158">
        <f t="shared" ref="W130" si="58">W129+V130</f>
        <v>98752.73</v>
      </c>
      <c r="X130" s="158"/>
      <c r="Y130" s="158"/>
      <c r="Z130" s="91"/>
      <c r="AA130" s="91"/>
      <c r="AF130" s="162"/>
    </row>
    <row r="131" spans="1:33" x14ac:dyDescent="0.25">
      <c r="A131" s="157" t="s">
        <v>285</v>
      </c>
      <c r="B131" s="158"/>
      <c r="C131" s="158"/>
      <c r="D131" s="91">
        <f>D130/C130-1</f>
        <v>2.9181950154589353E-2</v>
      </c>
      <c r="E131" s="91">
        <f t="shared" ref="E131" si="59">E130/D130-1</f>
        <v>2.6223090080093936E-2</v>
      </c>
      <c r="F131" s="91">
        <f t="shared" ref="F131" si="60">F130/E130-1</f>
        <v>3.1792272926388421E-2</v>
      </c>
      <c r="G131" s="91">
        <f t="shared" ref="G131" si="61">G130/F130-1</f>
        <v>3.9368381232852467E-2</v>
      </c>
      <c r="H131" s="91">
        <f t="shared" ref="H131" si="62">H130/G130-1</f>
        <v>5.97451110076197E-2</v>
      </c>
      <c r="I131" s="91">
        <f t="shared" ref="I131" si="63">I130/H130-1</f>
        <v>4.5682204888118694E-2</v>
      </c>
      <c r="J131" s="91">
        <f t="shared" ref="J131" si="64">J130/I130-1</f>
        <v>5.8120511584460299E-2</v>
      </c>
      <c r="K131" s="91">
        <f t="shared" ref="K131" si="65">K130/J130-1</f>
        <v>6.4767296568325916E-2</v>
      </c>
      <c r="L131" s="91">
        <f t="shared" ref="L131" si="66">L130/K130-1</f>
        <v>4.8653738101339217E-2</v>
      </c>
      <c r="M131" s="91">
        <f t="shared" ref="M131" si="67">M130/L130-1</f>
        <v>5.341526578539213E-2</v>
      </c>
      <c r="N131" s="91">
        <f t="shared" ref="N131" si="68">N130/M130-1</f>
        <v>3.9819686313206537E-2</v>
      </c>
      <c r="O131" s="91">
        <f t="shared" ref="O131" si="69">O130/N130-1</f>
        <v>5.0668361320014954E-2</v>
      </c>
      <c r="P131" s="282">
        <f t="shared" ref="P131" si="70">P130/O130-1</f>
        <v>6.7102451827222964E-2</v>
      </c>
      <c r="Q131" s="282">
        <f t="shared" ref="Q131" si="71">Q130/P130-1</f>
        <v>0.10959402992703526</v>
      </c>
      <c r="R131" s="282">
        <f t="shared" ref="R131" si="72">R130/Q130-1</f>
        <v>0.22778047862260742</v>
      </c>
      <c r="S131" s="282">
        <f t="shared" ref="S131" si="73">S130/R130-1</f>
        <v>0.30721120819416292</v>
      </c>
      <c r="T131" s="282">
        <f t="shared" ref="T131" si="74">T130/S130-1</f>
        <v>0.2411951417064917</v>
      </c>
      <c r="U131" s="282">
        <f t="shared" ref="U131" si="75">U130/T130-1</f>
        <v>0.11828962085447658</v>
      </c>
      <c r="V131" s="282">
        <f t="shared" ref="V131" si="76">V130/U130-1</f>
        <v>0.10024610699838687</v>
      </c>
      <c r="W131" s="282">
        <f t="shared" ref="W131" si="77">W130/V130-1</f>
        <v>0.10474444135932504</v>
      </c>
      <c r="X131" s="158">
        <f>SUM(R129:W129)</f>
        <v>62282.659999999996</v>
      </c>
      <c r="Y131" s="158"/>
      <c r="Z131" s="91"/>
      <c r="AA131" s="91"/>
      <c r="AF131" s="162"/>
    </row>
    <row r="132" spans="1:33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</row>
    <row r="134" spans="1:33" ht="15.75" x14ac:dyDescent="0.25">
      <c r="A134" s="81" t="s">
        <v>94</v>
      </c>
      <c r="B134" s="82" t="s">
        <v>283</v>
      </c>
      <c r="C134" s="82">
        <v>2000</v>
      </c>
      <c r="D134" s="82">
        <v>2001</v>
      </c>
      <c r="E134" s="82">
        <v>2002</v>
      </c>
      <c r="F134" s="82">
        <v>2003</v>
      </c>
      <c r="G134" s="82">
        <v>2004</v>
      </c>
      <c r="H134" s="82">
        <v>2005</v>
      </c>
      <c r="I134" s="82">
        <v>2006</v>
      </c>
      <c r="J134" s="82">
        <v>2007</v>
      </c>
      <c r="K134" s="82">
        <v>2008</v>
      </c>
      <c r="L134" s="82">
        <v>2009</v>
      </c>
      <c r="M134" s="82">
        <v>2010</v>
      </c>
      <c r="N134" s="82">
        <v>2011</v>
      </c>
      <c r="O134" s="82">
        <v>2012</v>
      </c>
      <c r="P134" s="82">
        <v>2013</v>
      </c>
      <c r="Q134" s="82">
        <v>2014</v>
      </c>
      <c r="R134" s="82">
        <v>2015</v>
      </c>
      <c r="S134" s="82">
        <v>2016</v>
      </c>
      <c r="T134" s="82">
        <v>2017</v>
      </c>
      <c r="U134" s="82">
        <v>2018</v>
      </c>
      <c r="V134" s="82">
        <v>2019</v>
      </c>
      <c r="W134" s="82">
        <v>2020</v>
      </c>
      <c r="X134" s="83" t="s">
        <v>89</v>
      </c>
    </row>
    <row r="135" spans="1:33" x14ac:dyDescent="0.25">
      <c r="A135" s="70" t="s">
        <v>49</v>
      </c>
      <c r="B135" s="26">
        <f t="shared" ref="B135:W135" si="78">B79/$Y$79</f>
        <v>7.0652846540890143E-2</v>
      </c>
      <c r="C135" s="26">
        <f t="shared" si="78"/>
        <v>2.0177082623641578E-2</v>
      </c>
      <c r="D135" s="26">
        <f t="shared" si="78"/>
        <v>3.848763392765357E-3</v>
      </c>
      <c r="E135" s="26">
        <f t="shared" si="78"/>
        <v>2.6945778273011044E-3</v>
      </c>
      <c r="F135" s="26">
        <f t="shared" si="78"/>
        <v>7.0150132813983435E-3</v>
      </c>
      <c r="G135" s="26">
        <f t="shared" si="78"/>
        <v>6.8162659940166175E-3</v>
      </c>
      <c r="H135" s="26">
        <f t="shared" si="78"/>
        <v>6.9271290853553076E-3</v>
      </c>
      <c r="I135" s="26">
        <f t="shared" si="78"/>
        <v>6.4812578889167942E-3</v>
      </c>
      <c r="J135" s="26">
        <f t="shared" si="78"/>
        <v>8.8126079151409561E-3</v>
      </c>
      <c r="K135" s="26">
        <f t="shared" si="78"/>
        <v>1.3745410771941722E-2</v>
      </c>
      <c r="L135" s="26">
        <f t="shared" si="78"/>
        <v>8.088168005556862E-3</v>
      </c>
      <c r="M135" s="26">
        <f t="shared" si="78"/>
        <v>9.1238308479172046E-3</v>
      </c>
      <c r="N135" s="26">
        <f t="shared" si="78"/>
        <v>9.9208356900138961E-3</v>
      </c>
      <c r="O135" s="26">
        <f t="shared" si="78"/>
        <v>7.3617124034029736E-3</v>
      </c>
      <c r="P135" s="26">
        <f t="shared" si="78"/>
        <v>2.1359891023596905E-2</v>
      </c>
      <c r="Q135" s="26">
        <f t="shared" si="78"/>
        <v>3.3179912252871049E-2</v>
      </c>
      <c r="R135" s="26">
        <f t="shared" si="78"/>
        <v>7.8431807306240539E-2</v>
      </c>
      <c r="S135" s="26">
        <f t="shared" si="78"/>
        <v>0.1903841789096474</v>
      </c>
      <c r="T135" s="26">
        <f t="shared" si="78"/>
        <v>0.19098243646436233</v>
      </c>
      <c r="U135" s="26">
        <f t="shared" si="78"/>
        <v>9.1199607181831996E-2</v>
      </c>
      <c r="V135" s="26">
        <f t="shared" si="78"/>
        <v>9.4127199070201326E-2</v>
      </c>
      <c r="W135" s="26">
        <f t="shared" si="78"/>
        <v>0.11799178968102474</v>
      </c>
      <c r="X135" s="51">
        <f>X79/Y79</f>
        <v>6.7767584196486499E-4</v>
      </c>
    </row>
    <row r="136" spans="1:33" x14ac:dyDescent="0.25">
      <c r="A136" s="70" t="s">
        <v>50</v>
      </c>
      <c r="B136" s="26">
        <f t="shared" ref="B136:W136" si="79">B88/$Y$88</f>
        <v>0.13919814690560461</v>
      </c>
      <c r="C136" s="26">
        <f t="shared" si="79"/>
        <v>4.0179505280143371E-2</v>
      </c>
      <c r="D136" s="26">
        <f t="shared" si="79"/>
        <v>9.4005140070359556E-3</v>
      </c>
      <c r="E136" s="26">
        <f t="shared" si="79"/>
        <v>7.3113343688320899E-3</v>
      </c>
      <c r="F136" s="26">
        <f t="shared" si="79"/>
        <v>7.6783309440602984E-3</v>
      </c>
      <c r="G136" s="26">
        <f t="shared" si="79"/>
        <v>8.3974959500630504E-3</v>
      </c>
      <c r="H136" s="26">
        <f t="shared" si="79"/>
        <v>2.2270813816229522E-2</v>
      </c>
      <c r="I136" s="26">
        <f t="shared" si="79"/>
        <v>1.3375515873793429E-2</v>
      </c>
      <c r="J136" s="26">
        <f t="shared" si="79"/>
        <v>2.1219604289782198E-2</v>
      </c>
      <c r="K136" s="26">
        <f t="shared" si="79"/>
        <v>2.4027419357401186E-2</v>
      </c>
      <c r="L136" s="26">
        <f t="shared" si="79"/>
        <v>1.8426617366616875E-2</v>
      </c>
      <c r="M136" s="26">
        <f t="shared" si="79"/>
        <v>2.4555936791856817E-2</v>
      </c>
      <c r="N136" s="26">
        <f t="shared" si="79"/>
        <v>1.4190004665569741E-2</v>
      </c>
      <c r="O136" s="26">
        <f t="shared" si="79"/>
        <v>2.4527339656124744E-2</v>
      </c>
      <c r="P136" s="26">
        <f t="shared" si="79"/>
        <v>2.6427990029132015E-2</v>
      </c>
      <c r="Q136" s="26">
        <f t="shared" si="79"/>
        <v>3.7890675268402667E-2</v>
      </c>
      <c r="R136" s="26">
        <f t="shared" si="79"/>
        <v>6.6531236280656547E-2</v>
      </c>
      <c r="S136" s="26">
        <f t="shared" si="79"/>
        <v>6.8768167786809428E-2</v>
      </c>
      <c r="T136" s="26">
        <f t="shared" si="79"/>
        <v>0.13963557716698774</v>
      </c>
      <c r="U136" s="26">
        <f t="shared" si="79"/>
        <v>8.9739400656992721E-2</v>
      </c>
      <c r="V136" s="26">
        <f t="shared" si="79"/>
        <v>7.8525616413908608E-2</v>
      </c>
      <c r="W136" s="26">
        <f t="shared" si="79"/>
        <v>0.1082957642875792</v>
      </c>
      <c r="X136" s="51">
        <f>X88/Y88</f>
        <v>9.4269928364175016E-3</v>
      </c>
    </row>
    <row r="137" spans="1:33" x14ac:dyDescent="0.25">
      <c r="A137" s="70" t="s">
        <v>60</v>
      </c>
      <c r="B137" s="26">
        <f t="shared" ref="B137:W137" si="80">B92/$Y$92</f>
        <v>0.41112348595689019</v>
      </c>
      <c r="C137" s="26">
        <f t="shared" si="80"/>
        <v>5.899580397748741E-2</v>
      </c>
      <c r="D137" s="26">
        <f t="shared" si="80"/>
        <v>4.6717451712291859E-3</v>
      </c>
      <c r="E137" s="26">
        <f t="shared" si="80"/>
        <v>1.6489241110861964E-3</v>
      </c>
      <c r="F137" s="26">
        <f t="shared" si="80"/>
        <v>4.2084111234859571E-3</v>
      </c>
      <c r="G137" s="26">
        <f t="shared" si="80"/>
        <v>9.2889804544885792E-3</v>
      </c>
      <c r="H137" s="26">
        <f t="shared" si="80"/>
        <v>1.4581395031919256E-2</v>
      </c>
      <c r="I137" s="26">
        <f t="shared" si="80"/>
        <v>5.8969787894592746E-3</v>
      </c>
      <c r="J137" s="26">
        <f t="shared" si="80"/>
        <v>6.720821414457262E-3</v>
      </c>
      <c r="K137" s="26">
        <f t="shared" si="80"/>
        <v>1.3637382881169686E-2</v>
      </c>
      <c r="L137" s="26">
        <f t="shared" si="80"/>
        <v>2.3804715848626049E-2</v>
      </c>
      <c r="M137" s="26">
        <f t="shared" si="80"/>
        <v>1.1682460080798523E-2</v>
      </c>
      <c r="N137" s="26">
        <f t="shared" si="80"/>
        <v>7.9472938937775739E-3</v>
      </c>
      <c r="O137" s="26">
        <f t="shared" si="80"/>
        <v>1.1522647000159814E-2</v>
      </c>
      <c r="P137" s="26">
        <f t="shared" si="80"/>
        <v>1.1423538112942012E-2</v>
      </c>
      <c r="Q137" s="26">
        <f t="shared" si="80"/>
        <v>3.4553074667396766E-2</v>
      </c>
      <c r="R137" s="26">
        <f t="shared" si="80"/>
        <v>5.0487306009839042E-2</v>
      </c>
      <c r="S137" s="26">
        <f t="shared" si="80"/>
        <v>9.0750291442071473E-2</v>
      </c>
      <c r="T137" s="26">
        <f t="shared" si="80"/>
        <v>8.0555703530630213E-2</v>
      </c>
      <c r="U137" s="26">
        <f t="shared" si="80"/>
        <v>8.6089696020654277E-2</v>
      </c>
      <c r="V137" s="26">
        <f t="shared" si="80"/>
        <v>3.5561507594837921E-2</v>
      </c>
      <c r="W137" s="26">
        <f t="shared" si="80"/>
        <v>1.8745207156157202E-2</v>
      </c>
      <c r="X137" s="52">
        <f>X92/Y92</f>
        <v>6.1026297304362159E-3</v>
      </c>
    </row>
    <row r="138" spans="1:33" x14ac:dyDescent="0.25">
      <c r="A138" s="70" t="s">
        <v>51</v>
      </c>
      <c r="B138" s="26">
        <f t="shared" ref="B138:W138" si="81">B96/$Y$96</f>
        <v>0.21035903483259996</v>
      </c>
      <c r="C138" s="26">
        <f t="shared" si="81"/>
        <v>1.6394626802600818E-2</v>
      </c>
      <c r="D138" s="26">
        <f t="shared" si="81"/>
        <v>2.0415405188456488E-3</v>
      </c>
      <c r="E138" s="26">
        <f t="shared" si="81"/>
        <v>9.5079264323063618E-4</v>
      </c>
      <c r="F138" s="26">
        <f t="shared" si="81"/>
        <v>4.3855649270381769E-3</v>
      </c>
      <c r="G138" s="26">
        <f t="shared" si="81"/>
        <v>3.2298055886381626E-3</v>
      </c>
      <c r="H138" s="26">
        <f t="shared" si="81"/>
        <v>7.090764128480709E-3</v>
      </c>
      <c r="I138" s="26">
        <f t="shared" si="81"/>
        <v>4.8659274020606824E-3</v>
      </c>
      <c r="J138" s="26">
        <f t="shared" si="81"/>
        <v>8.4225961785900985E-3</v>
      </c>
      <c r="K138" s="26">
        <f t="shared" si="81"/>
        <v>1.6275439120828315E-2</v>
      </c>
      <c r="L138" s="26">
        <f t="shared" si="81"/>
        <v>9.0031846587394788E-3</v>
      </c>
      <c r="M138" s="26">
        <f t="shared" si="81"/>
        <v>1.0065038550894495E-2</v>
      </c>
      <c r="N138" s="26">
        <f t="shared" si="81"/>
        <v>1.2451500997293894E-2</v>
      </c>
      <c r="O138" s="26">
        <f t="shared" si="81"/>
        <v>9.5991230676019876E-3</v>
      </c>
      <c r="P138" s="26">
        <f t="shared" si="81"/>
        <v>2.6409100882440313E-2</v>
      </c>
      <c r="Q138" s="26">
        <f t="shared" si="81"/>
        <v>4.4384770342493031E-2</v>
      </c>
      <c r="R138" s="26">
        <f t="shared" si="81"/>
        <v>7.7808788646831537E-2</v>
      </c>
      <c r="S138" s="26">
        <f t="shared" si="81"/>
        <v>0.12451139822500645</v>
      </c>
      <c r="T138" s="26">
        <f t="shared" si="81"/>
        <v>0.15205819970618428</v>
      </c>
      <c r="U138" s="26">
        <f t="shared" si="81"/>
        <v>7.7509013568434051E-2</v>
      </c>
      <c r="V138" s="26">
        <f t="shared" si="81"/>
        <v>7.9105406154599045E-2</v>
      </c>
      <c r="W138" s="26">
        <f t="shared" si="81"/>
        <v>0.10307838305656811</v>
      </c>
      <c r="X138" s="54">
        <f>X96/Y96</f>
        <v>0</v>
      </c>
    </row>
    <row r="139" spans="1:33" x14ac:dyDescent="0.25">
      <c r="A139" s="70" t="s">
        <v>52</v>
      </c>
      <c r="B139" s="26">
        <f t="shared" ref="B139:W139" si="82">B101/$Y$101</f>
        <v>8.545174228524563E-2</v>
      </c>
      <c r="C139" s="26">
        <f t="shared" si="82"/>
        <v>3.2731584414111364E-2</v>
      </c>
      <c r="D139" s="26">
        <f t="shared" si="82"/>
        <v>5.2044332466190356E-3</v>
      </c>
      <c r="E139" s="26">
        <f t="shared" si="82"/>
        <v>8.6618026841873662E-3</v>
      </c>
      <c r="F139" s="26">
        <f t="shared" si="82"/>
        <v>3.1328472151477319E-3</v>
      </c>
      <c r="G139" s="26">
        <f t="shared" si="82"/>
        <v>1.1338848460724936E-2</v>
      </c>
      <c r="H139" s="26">
        <f t="shared" si="82"/>
        <v>1.3309612054162655E-2</v>
      </c>
      <c r="I139" s="26">
        <f t="shared" si="82"/>
        <v>1.2700476491043083E-2</v>
      </c>
      <c r="J139" s="26">
        <f t="shared" si="82"/>
        <v>1.9754896452205441E-2</v>
      </c>
      <c r="K139" s="26">
        <f t="shared" si="82"/>
        <v>1.3946578811114416E-2</v>
      </c>
      <c r="L139" s="26">
        <f t="shared" si="82"/>
        <v>1.0916654501459302E-2</v>
      </c>
      <c r="M139" s="26">
        <f t="shared" si="82"/>
        <v>1.1095194235477106E-2</v>
      </c>
      <c r="N139" s="26">
        <f t="shared" si="82"/>
        <v>1.2553968885775531E-2</v>
      </c>
      <c r="O139" s="26">
        <f t="shared" si="82"/>
        <v>1.695182262812589E-2</v>
      </c>
      <c r="P139" s="26">
        <f t="shared" si="82"/>
        <v>2.1451023925374593E-2</v>
      </c>
      <c r="Q139" s="26">
        <f t="shared" si="82"/>
        <v>4.5414732048617422E-2</v>
      </c>
      <c r="R139" s="26">
        <f t="shared" si="82"/>
        <v>0.11828257378679624</v>
      </c>
      <c r="S139" s="26">
        <f t="shared" si="82"/>
        <v>0.19502787845435007</v>
      </c>
      <c r="T139" s="26">
        <f t="shared" si="82"/>
        <v>0.13871959704632267</v>
      </c>
      <c r="U139" s="26">
        <f t="shared" si="82"/>
        <v>7.1236828756239712E-2</v>
      </c>
      <c r="V139" s="26">
        <f t="shared" si="82"/>
        <v>8.4191986926690554E-2</v>
      </c>
      <c r="W139" s="26">
        <f t="shared" si="82"/>
        <v>6.6828472676594197E-2</v>
      </c>
      <c r="X139" s="51">
        <f>X101/Y101</f>
        <v>1.0964440136152303E-3</v>
      </c>
    </row>
    <row r="140" spans="1:33" x14ac:dyDescent="0.25">
      <c r="A140" s="70" t="s">
        <v>53</v>
      </c>
      <c r="B140" s="26">
        <f t="shared" ref="B140:W140" si="83">B107/$Y$107</f>
        <v>1.2897074321272642E-2</v>
      </c>
      <c r="C140" s="26">
        <f t="shared" si="83"/>
        <v>4.382663388032987E-3</v>
      </c>
      <c r="D140" s="26">
        <f t="shared" si="83"/>
        <v>0</v>
      </c>
      <c r="E140" s="26">
        <f t="shared" si="83"/>
        <v>0</v>
      </c>
      <c r="F140" s="26">
        <f t="shared" si="83"/>
        <v>1.0003178267342466E-2</v>
      </c>
      <c r="G140" s="26">
        <f t="shared" si="83"/>
        <v>5.2357772536424608E-3</v>
      </c>
      <c r="H140" s="26">
        <f t="shared" si="83"/>
        <v>3.6466435824091268E-3</v>
      </c>
      <c r="I140" s="26">
        <f t="shared" si="83"/>
        <v>0</v>
      </c>
      <c r="J140" s="26">
        <f t="shared" si="83"/>
        <v>1.1040297084357906E-3</v>
      </c>
      <c r="K140" s="26">
        <f t="shared" si="83"/>
        <v>5.6874257707298305E-4</v>
      </c>
      <c r="L140" s="26">
        <f t="shared" si="83"/>
        <v>3.6800990281193017E-4</v>
      </c>
      <c r="M140" s="26">
        <f t="shared" si="83"/>
        <v>3.2953614024522843E-3</v>
      </c>
      <c r="N140" s="26">
        <f t="shared" si="83"/>
        <v>1.6727722855087735E-4</v>
      </c>
      <c r="O140" s="26">
        <f t="shared" si="83"/>
        <v>4.5666683394389521E-3</v>
      </c>
      <c r="P140" s="26">
        <f t="shared" si="83"/>
        <v>6.9587327077164978E-3</v>
      </c>
      <c r="Q140" s="26">
        <f t="shared" si="83"/>
        <v>1.5088406015289137E-2</v>
      </c>
      <c r="R140" s="26">
        <f t="shared" si="83"/>
        <v>7.2247035011123936E-2</v>
      </c>
      <c r="S140" s="26">
        <f t="shared" si="83"/>
        <v>0.14349040665094262</v>
      </c>
      <c r="T140" s="26">
        <f t="shared" si="83"/>
        <v>8.4909921212425354E-2</v>
      </c>
      <c r="U140" s="26">
        <f t="shared" si="83"/>
        <v>0.25483012997440652</v>
      </c>
      <c r="V140" s="26">
        <f t="shared" si="83"/>
        <v>0.19745404058145563</v>
      </c>
      <c r="W140" s="26">
        <f t="shared" si="83"/>
        <v>0.17878590187517773</v>
      </c>
      <c r="X140" s="54">
        <f>X107/Y107</f>
        <v>0</v>
      </c>
    </row>
    <row r="141" spans="1:33" x14ac:dyDescent="0.25">
      <c r="A141" s="70" t="s">
        <v>54</v>
      </c>
      <c r="B141" s="26">
        <f t="shared" ref="B141:W141" si="84">B118/$Y$118</f>
        <v>1.0497967949013995E-2</v>
      </c>
      <c r="C141" s="26">
        <f t="shared" si="84"/>
        <v>3.507019812497114E-4</v>
      </c>
      <c r="D141" s="26">
        <f t="shared" si="84"/>
        <v>0</v>
      </c>
      <c r="E141" s="26">
        <f t="shared" si="84"/>
        <v>3.752366877568928E-5</v>
      </c>
      <c r="F141" s="26">
        <f t="shared" si="84"/>
        <v>0</v>
      </c>
      <c r="G141" s="26">
        <f t="shared" si="84"/>
        <v>0</v>
      </c>
      <c r="H141" s="26">
        <f t="shared" si="84"/>
        <v>1.6914515309656862E-3</v>
      </c>
      <c r="I141" s="26">
        <f t="shared" si="84"/>
        <v>2.5765771486630028E-2</v>
      </c>
      <c r="J141" s="26">
        <f t="shared" si="84"/>
        <v>2.8243776843855355E-3</v>
      </c>
      <c r="K141" s="26">
        <f t="shared" si="84"/>
        <v>6.2635662494804423E-3</v>
      </c>
      <c r="L141" s="26">
        <f t="shared" si="84"/>
        <v>2.2903870133468805E-3</v>
      </c>
      <c r="M141" s="26">
        <f t="shared" si="84"/>
        <v>1.9111093151064521E-2</v>
      </c>
      <c r="N141" s="26">
        <f t="shared" si="84"/>
        <v>9.3534960513554713E-3</v>
      </c>
      <c r="O141" s="26">
        <f t="shared" si="84"/>
        <v>7.3936059668406233E-3</v>
      </c>
      <c r="P141" s="26">
        <f t="shared" si="84"/>
        <v>1.141729783401838E-2</v>
      </c>
      <c r="Q141" s="26">
        <f t="shared" si="84"/>
        <v>2.052977647439154E-2</v>
      </c>
      <c r="R141" s="26">
        <f t="shared" si="84"/>
        <v>0.11299675564586893</v>
      </c>
      <c r="S141" s="26">
        <f t="shared" si="84"/>
        <v>0.13771186440677965</v>
      </c>
      <c r="T141" s="26">
        <f t="shared" si="84"/>
        <v>0.1655212326236549</v>
      </c>
      <c r="U141" s="26">
        <f t="shared" si="84"/>
        <v>0.14789954047937928</v>
      </c>
      <c r="V141" s="26">
        <f t="shared" si="84"/>
        <v>0.13957650210132544</v>
      </c>
      <c r="W141" s="26">
        <f t="shared" si="84"/>
        <v>0.17876708770147326</v>
      </c>
      <c r="X141" s="54">
        <f>X118/Y118</f>
        <v>0</v>
      </c>
    </row>
    <row r="142" spans="1:33" x14ac:dyDescent="0.25">
      <c r="A142" s="70" t="s">
        <v>55</v>
      </c>
      <c r="B142" s="26">
        <f t="shared" ref="B142:W142" si="85">B121/$Y$121</f>
        <v>0.19180418965896021</v>
      </c>
      <c r="C142" s="26">
        <f t="shared" si="85"/>
        <v>4.0294129049766737E-2</v>
      </c>
      <c r="D142" s="26">
        <f t="shared" si="85"/>
        <v>1.5507682764502912E-3</v>
      </c>
      <c r="E142" s="26">
        <f t="shared" si="85"/>
        <v>1.7316912420361587E-3</v>
      </c>
      <c r="F142" s="26">
        <f t="shared" si="85"/>
        <v>2.7887982838164405E-2</v>
      </c>
      <c r="G142" s="26">
        <f t="shared" si="85"/>
        <v>1.5869528695674647E-2</v>
      </c>
      <c r="H142" s="26">
        <f t="shared" si="85"/>
        <v>2.2098447939416652E-2</v>
      </c>
      <c r="I142" s="26">
        <f t="shared" si="85"/>
        <v>1.5882451764645065E-2</v>
      </c>
      <c r="J142" s="26">
        <f t="shared" si="85"/>
        <v>2.0806141042374743E-2</v>
      </c>
      <c r="K142" s="26">
        <f t="shared" si="85"/>
        <v>7.9089182098964865E-3</v>
      </c>
      <c r="L142" s="26">
        <f t="shared" si="85"/>
        <v>1.1165531590442097E-2</v>
      </c>
      <c r="M142" s="26">
        <f t="shared" si="85"/>
        <v>1.8001835075793799E-2</v>
      </c>
      <c r="N142" s="26">
        <f t="shared" si="85"/>
        <v>2.4269523526447061E-2</v>
      </c>
      <c r="O142" s="26">
        <f t="shared" si="85"/>
        <v>1.2793838280714903E-2</v>
      </c>
      <c r="P142" s="26">
        <f t="shared" si="85"/>
        <v>4.3783357671779884E-2</v>
      </c>
      <c r="Q142" s="26">
        <f t="shared" si="85"/>
        <v>4.094028249828769E-2</v>
      </c>
      <c r="R142" s="26">
        <f t="shared" si="85"/>
        <v>7.9980873857923768E-2</v>
      </c>
      <c r="S142" s="26">
        <f t="shared" si="85"/>
        <v>5.6615965159406062E-2</v>
      </c>
      <c r="T142" s="26">
        <f t="shared" si="85"/>
        <v>6.5028883059148876E-2</v>
      </c>
      <c r="U142" s="26">
        <f t="shared" si="85"/>
        <v>8.2630102996859689E-2</v>
      </c>
      <c r="V142" s="26">
        <f t="shared" si="85"/>
        <v>9.9895323141339601E-2</v>
      </c>
      <c r="W142" s="26">
        <f t="shared" si="85"/>
        <v>0.11258577687029116</v>
      </c>
      <c r="X142" s="51">
        <f>X121/Y121</f>
        <v>6.4744575541799661E-3</v>
      </c>
    </row>
    <row r="143" spans="1:33" x14ac:dyDescent="0.25">
      <c r="A143" s="70" t="s">
        <v>56</v>
      </c>
      <c r="B143" s="26">
        <f>B125/$Y$125</f>
        <v>0.38160789305237769</v>
      </c>
      <c r="C143" s="26">
        <f t="shared" ref="C143:W143" si="86">C125/$Y$125</f>
        <v>6.0561960608312433E-2</v>
      </c>
      <c r="D143" s="26">
        <f t="shared" si="86"/>
        <v>9.1835458404761726E-3</v>
      </c>
      <c r="E143" s="26">
        <f t="shared" si="86"/>
        <v>1.2203035676184732E-2</v>
      </c>
      <c r="F143" s="26">
        <f t="shared" si="86"/>
        <v>1.4925285284401509E-2</v>
      </c>
      <c r="G143" s="26">
        <f t="shared" si="86"/>
        <v>1.0415179852409927E-2</v>
      </c>
      <c r="H143" s="26">
        <f t="shared" si="86"/>
        <v>1.8453909371160343E-2</v>
      </c>
      <c r="I143" s="26">
        <f t="shared" si="86"/>
        <v>1.9041032394770338E-3</v>
      </c>
      <c r="J143" s="26">
        <f t="shared" si="86"/>
        <v>1.8180212924063955E-2</v>
      </c>
      <c r="K143" s="26">
        <f t="shared" si="86"/>
        <v>1.2504690362500643E-2</v>
      </c>
      <c r="L143" s="26">
        <f t="shared" si="86"/>
        <v>2.0050471979222613E-2</v>
      </c>
      <c r="M143" s="26">
        <f t="shared" si="86"/>
        <v>2.022705033218803E-2</v>
      </c>
      <c r="N143" s="26">
        <f t="shared" si="86"/>
        <v>1.0803652228933836E-2</v>
      </c>
      <c r="O143" s="26">
        <f t="shared" si="86"/>
        <v>3.4596113804748481E-2</v>
      </c>
      <c r="P143" s="26">
        <f t="shared" si="86"/>
        <v>1.565514247665855E-2</v>
      </c>
      <c r="Q143" s="26">
        <f t="shared" si="86"/>
        <v>2.2977258179624333E-2</v>
      </c>
      <c r="R143" s="26">
        <f t="shared" si="86"/>
        <v>7.8943767152011901E-2</v>
      </c>
      <c r="S143" s="26">
        <f t="shared" si="86"/>
        <v>7.8447876277434034E-2</v>
      </c>
      <c r="T143" s="26">
        <f t="shared" si="86"/>
        <v>4.7221466041775496E-2</v>
      </c>
      <c r="U143" s="26">
        <f t="shared" si="86"/>
        <v>4.396506691583834E-2</v>
      </c>
      <c r="V143" s="26">
        <f t="shared" si="86"/>
        <v>3.3627875835988141E-2</v>
      </c>
      <c r="W143" s="26">
        <f t="shared" si="86"/>
        <v>3.1575152482765219E-2</v>
      </c>
      <c r="X143" s="52">
        <f>X125/Y125</f>
        <v>2.1969290081446768E-2</v>
      </c>
    </row>
    <row r="144" spans="1:33" x14ac:dyDescent="0.25">
      <c r="A144" s="70" t="s">
        <v>57</v>
      </c>
      <c r="B144" s="26">
        <f>B127/$Y$127</f>
        <v>0.26969634373063422</v>
      </c>
      <c r="C144" s="26">
        <f t="shared" ref="C144:W144" si="87">C127/$Y$127</f>
        <v>2.4924012158054707E-2</v>
      </c>
      <c r="D144" s="26">
        <f t="shared" si="87"/>
        <v>3.7123380647445916E-3</v>
      </c>
      <c r="E144" s="26">
        <f t="shared" si="87"/>
        <v>3.07492548765013E-3</v>
      </c>
      <c r="F144" s="26">
        <f t="shared" si="87"/>
        <v>6.4567533272346317E-3</v>
      </c>
      <c r="G144" s="26">
        <f t="shared" si="87"/>
        <v>1.3598134978015163E-2</v>
      </c>
      <c r="H144" s="26">
        <f t="shared" si="87"/>
        <v>5.9019683064301933E-3</v>
      </c>
      <c r="I144" s="26">
        <f t="shared" si="87"/>
        <v>7.3538525098120209E-3</v>
      </c>
      <c r="J144" s="26">
        <f t="shared" si="87"/>
        <v>8.0797946115029346E-3</v>
      </c>
      <c r="K144" s="26">
        <f t="shared" si="87"/>
        <v>3.9543187653082283E-2</v>
      </c>
      <c r="L144" s="26">
        <f t="shared" si="87"/>
        <v>1.9128279281140258E-2</v>
      </c>
      <c r="M144" s="26">
        <f t="shared" si="87"/>
        <v>2.0916575677988603E-2</v>
      </c>
      <c r="N144" s="26">
        <f t="shared" si="87"/>
        <v>6.1203411337681099E-3</v>
      </c>
      <c r="O144" s="26">
        <f t="shared" si="87"/>
        <v>1.0924543335202286E-2</v>
      </c>
      <c r="P144" s="26">
        <f t="shared" si="87"/>
        <v>1.2523976746244869E-2</v>
      </c>
      <c r="Q144" s="26">
        <f t="shared" si="87"/>
        <v>4.6300941363944866E-2</v>
      </c>
      <c r="R144" s="26">
        <f t="shared" si="87"/>
        <v>6.3180570720335227E-2</v>
      </c>
      <c r="S144" s="26">
        <f t="shared" si="87"/>
        <v>0.10532652639655321</v>
      </c>
      <c r="T144" s="26">
        <f t="shared" si="87"/>
        <v>9.9967539174314599E-2</v>
      </c>
      <c r="U144" s="26">
        <f t="shared" si="87"/>
        <v>6.2354295157434993E-2</v>
      </c>
      <c r="V144" s="26">
        <f t="shared" si="87"/>
        <v>8.1199279959866602E-2</v>
      </c>
      <c r="W144" s="26">
        <f t="shared" si="87"/>
        <v>8.7880308082745592E-2</v>
      </c>
      <c r="X144" s="52">
        <f>X127/Y127</f>
        <v>1.8355121432997903E-3</v>
      </c>
    </row>
    <row r="145" spans="1:24" x14ac:dyDescent="0.25">
      <c r="A145" s="70" t="s">
        <v>59</v>
      </c>
      <c r="B145" s="26">
        <f>B129/$Y$129</f>
        <v>0.15123512091870447</v>
      </c>
      <c r="C145" s="26">
        <f t="shared" ref="C145:W145" si="88">C129/$Y$129</f>
        <v>3.0743639722426875E-2</v>
      </c>
      <c r="D145" s="26">
        <f t="shared" si="88"/>
        <v>5.3104951222234641E-3</v>
      </c>
      <c r="E145" s="26">
        <f t="shared" si="88"/>
        <v>4.9113030249161816E-3</v>
      </c>
      <c r="F145" s="26">
        <f t="shared" si="88"/>
        <v>6.1104926216010817E-3</v>
      </c>
      <c r="G145" s="26">
        <f t="shared" si="88"/>
        <v>7.80718507459165E-3</v>
      </c>
      <c r="H145" s="26">
        <f t="shared" si="88"/>
        <v>1.231455691945909E-2</v>
      </c>
      <c r="I145" s="26">
        <f t="shared" si="88"/>
        <v>9.9784916225621086E-3</v>
      </c>
      <c r="J145" s="26">
        <f t="shared" si="88"/>
        <v>1.3275380737403293E-2</v>
      </c>
      <c r="K145" s="26">
        <f t="shared" si="88"/>
        <v>1.5653391958139581E-2</v>
      </c>
      <c r="L145" s="26">
        <f t="shared" si="88"/>
        <v>1.2520555771391087E-2</v>
      </c>
      <c r="M145" s="26">
        <f t="shared" si="88"/>
        <v>1.4414676394759948E-2</v>
      </c>
      <c r="N145" s="26">
        <f t="shared" si="88"/>
        <v>1.1319752869943134E-2</v>
      </c>
      <c r="O145" s="26">
        <f t="shared" si="88"/>
        <v>1.4977316430873775E-2</v>
      </c>
      <c r="P145" s="26">
        <f t="shared" si="88"/>
        <v>2.0840166771346619E-2</v>
      </c>
      <c r="Q145" s="26">
        <f t="shared" si="88"/>
        <v>3.6320834288292116E-2</v>
      </c>
      <c r="R145" s="26">
        <f t="shared" si="88"/>
        <v>8.376248080293372E-2</v>
      </c>
      <c r="S145" s="26">
        <f t="shared" si="88"/>
        <v>0.13870458282409201</v>
      </c>
      <c r="T145" s="26">
        <f t="shared" si="88"/>
        <v>0.14235347487192124</v>
      </c>
      <c r="U145" s="26">
        <f t="shared" si="88"/>
        <v>8.665352293832003E-2</v>
      </c>
      <c r="V145" s="26">
        <f t="shared" si="88"/>
        <v>8.2122354848197604E-2</v>
      </c>
      <c r="W145" s="26">
        <f t="shared" si="88"/>
        <v>9.4409283923589465E-2</v>
      </c>
      <c r="X145" s="52">
        <f>X129/Y129</f>
        <v>4.2609395423114883E-3</v>
      </c>
    </row>
  </sheetData>
  <sortState ref="AP79:AS84">
    <sortCondition descending="1" ref="AS79:AS84"/>
  </sortState>
  <hyperlinks>
    <hyperlink ref="D1" location="INDICE!A1" display="INDICE"/>
  </hyperlinks>
  <pageMargins left="0.7" right="0.7" top="0.75" bottom="0.75" header="0.3" footer="0.3"/>
  <pageSetup paperSize="9" orientation="portrait" r:id="rId1"/>
  <ignoredErrors>
    <ignoredError sqref="AB4:AC56 AC57 AB80:AC111 AB112:AC128 AC7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INDICE</vt:lpstr>
      <vt:lpstr>Frutos secos TOTAL</vt:lpstr>
      <vt:lpstr>ALM-REPR</vt:lpstr>
      <vt:lpstr>PIS-REPR</vt:lpstr>
      <vt:lpstr>AVE-REPR</vt:lpstr>
      <vt:lpstr>ALG-REPR</vt:lpstr>
      <vt:lpstr>CAS-REPR</vt:lpstr>
      <vt:lpstr>NOG-REPR</vt:lpstr>
      <vt:lpstr>ALM-EDAD</vt:lpstr>
      <vt:lpstr>PIS-EDAD</vt:lpstr>
      <vt:lpstr>CAS-EDAD</vt:lpstr>
      <vt:lpstr>AVE-EDAD</vt:lpstr>
      <vt:lpstr>ALG-EDAD</vt:lpstr>
      <vt:lpstr>NOG-EDAD</vt:lpstr>
      <vt:lpstr>ALM-PEND</vt:lpstr>
      <vt:lpstr>PIS-PEND</vt:lpstr>
      <vt:lpstr>AVE-PEND</vt:lpstr>
      <vt:lpstr>ALG-PEND</vt:lpstr>
      <vt:lpstr>CAS-PEND</vt:lpstr>
      <vt:lpstr>NOG-PEND</vt:lpstr>
      <vt:lpstr>ALM-EXPL</vt:lpstr>
      <vt:lpstr>PIS-EXPL</vt:lpstr>
      <vt:lpstr>AVE-EXPL</vt:lpstr>
      <vt:lpstr>ALG-EXPL</vt:lpstr>
      <vt:lpstr>CAS-EXPL</vt:lpstr>
      <vt:lpstr>NOG-EXPL</vt:lpstr>
      <vt:lpstr>ALM-VAR</vt:lpstr>
      <vt:lpstr>PIS-VAR</vt:lpstr>
      <vt:lpstr>AVE-VAR</vt:lpstr>
      <vt:lpstr>ALG-VAR</vt:lpstr>
      <vt:lpstr>ALM-VAR-EDAD</vt:lpstr>
      <vt:lpstr>PIST-VAR-EDAD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Calzado Gata, Irene</dc:creator>
  <cp:lastModifiedBy>Garrido Ortiz, Gabriel</cp:lastModifiedBy>
  <dcterms:created xsi:type="dcterms:W3CDTF">2021-03-11T08:22:54Z</dcterms:created>
  <dcterms:modified xsi:type="dcterms:W3CDTF">2021-12-21T11:32:14Z</dcterms:modified>
</cp:coreProperties>
</file>